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ocruzbr-my.sharepoint.com/personal/sonali_mota_fiocruz_br/Documents/Planejamento da Contratação/"/>
    </mc:Choice>
  </mc:AlternateContent>
  <xr:revisionPtr revIDLastSave="0" documentId="8_{8E4489A5-EFD0-4776-9E09-B17E4093A7D2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RESUMO" sheetId="16" r:id="rId1"/>
    <sheet name="Salario.com" sheetId="1" r:id="rId2"/>
    <sheet name="Trabalha Brasil" sheetId="2" r:id="rId3"/>
    <sheet name="Cargos.com" sheetId="3" r:id="rId4"/>
    <sheet name="Glassdoor" sheetId="4" r:id="rId5"/>
    <sheet name="Leme" sheetId="5" r:id="rId6"/>
    <sheet name="Catho" sheetId="6" r:id="rId7"/>
    <sheet name="Aneel" sheetId="7" r:id="rId8"/>
    <sheet name="CJF" sheetId="8" r:id="rId9"/>
    <sheet name="FAR " sheetId="9" r:id="rId10"/>
    <sheet name="INI " sheetId="10" r:id="rId11"/>
    <sheet name="COGIC " sheetId="11" r:id="rId12"/>
    <sheet name="INCQS " sheetId="12" r:id="rId13"/>
    <sheet name="COC " sheetId="13" r:id="rId14"/>
    <sheet name="IFF " sheetId="14" r:id="rId15"/>
    <sheet name="BIO " sheetId="15" r:id="rId16"/>
    <sheet name="POLI" sheetId="18" r:id="rId17"/>
  </sheets>
  <definedNames>
    <definedName name="_xlnm._FilterDatabase" localSheetId="1" hidden="1">Salario.com!$A$1:$N$36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" i="16" l="1"/>
  <c r="M9" i="18"/>
  <c r="N9" i="18" s="1"/>
  <c r="L9" i="2"/>
  <c r="M9" i="2" s="1"/>
  <c r="AB32" i="16"/>
  <c r="AC32" i="16"/>
  <c r="L9" i="15" l="1"/>
  <c r="M9" i="15" s="1"/>
  <c r="L12" i="15"/>
  <c r="M12" i="15" s="1"/>
  <c r="J30" i="5" l="1"/>
  <c r="AC31" i="16"/>
  <c r="AB31" i="16"/>
  <c r="AC30" i="16"/>
  <c r="AB30" i="16"/>
  <c r="J30" i="1"/>
  <c r="J35" i="6" l="1"/>
  <c r="N35" i="6" s="1"/>
  <c r="J30" i="6"/>
  <c r="J8" i="6"/>
  <c r="J18" i="4"/>
  <c r="J19" i="4"/>
  <c r="J30" i="4"/>
  <c r="J35" i="4"/>
  <c r="J36" i="4"/>
  <c r="J8" i="4"/>
  <c r="J36" i="3"/>
  <c r="J35" i="3"/>
  <c r="J30" i="3"/>
  <c r="J19" i="3"/>
  <c r="J18" i="3"/>
  <c r="J8" i="3"/>
  <c r="J36" i="1"/>
  <c r="J35" i="1"/>
  <c r="J19" i="1"/>
  <c r="J18" i="1"/>
  <c r="J8" i="1"/>
  <c r="AC37" i="16"/>
  <c r="AB37" i="16"/>
  <c r="AC34" i="16"/>
  <c r="AB34" i="16"/>
  <c r="AB24" i="16"/>
  <c r="AC24" i="16"/>
  <c r="AC23" i="16"/>
  <c r="AB23" i="16"/>
  <c r="AC17" i="16"/>
  <c r="AB17" i="16"/>
  <c r="AC12" i="16"/>
  <c r="AB12" i="16"/>
  <c r="AC5" i="16"/>
  <c r="AB5" i="16"/>
  <c r="AC15" i="16"/>
  <c r="AB15" i="16"/>
  <c r="AB9" i="16"/>
  <c r="AC9" i="16"/>
  <c r="AC8" i="16"/>
  <c r="AB8" i="16"/>
  <c r="AC6" i="16"/>
  <c r="AB6" i="1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6" i="6"/>
  <c r="N2" i="6"/>
  <c r="M9" i="4" l="1"/>
  <c r="M10" i="4"/>
  <c r="M11" i="4"/>
  <c r="E12" i="16" s="1"/>
  <c r="M12" i="4"/>
  <c r="E13" i="16" s="1"/>
  <c r="M13" i="4"/>
  <c r="M14" i="4"/>
  <c r="M15" i="4"/>
  <c r="M16" i="4"/>
  <c r="E17" i="16" s="1"/>
  <c r="M17" i="4"/>
  <c r="M18" i="4"/>
  <c r="M19" i="4"/>
  <c r="M20" i="4"/>
  <c r="E21" i="16" s="1"/>
  <c r="M21" i="4"/>
  <c r="M22" i="4"/>
  <c r="M23" i="4"/>
  <c r="E24" i="16" s="1"/>
  <c r="M24" i="4"/>
  <c r="E25" i="16" s="1"/>
  <c r="M25" i="4"/>
  <c r="M26" i="4"/>
  <c r="M27" i="4"/>
  <c r="E28" i="16" s="1"/>
  <c r="M28" i="4"/>
  <c r="E29" i="16" s="1"/>
  <c r="M29" i="4"/>
  <c r="M30" i="4"/>
  <c r="M31" i="4"/>
  <c r="E32" i="16" s="1"/>
  <c r="M32" i="4"/>
  <c r="E33" i="16" s="1"/>
  <c r="M33" i="4"/>
  <c r="M34" i="4"/>
  <c r="M35" i="4"/>
  <c r="E36" i="16" s="1"/>
  <c r="M36" i="4"/>
  <c r="E37" i="16" s="1"/>
  <c r="M3" i="4"/>
  <c r="M4" i="4"/>
  <c r="M5" i="4"/>
  <c r="E6" i="16" s="1"/>
  <c r="M6" i="4"/>
  <c r="E7" i="16" s="1"/>
  <c r="M7" i="4"/>
  <c r="M8" i="4"/>
  <c r="M2" i="4"/>
  <c r="E3" i="16" s="1"/>
  <c r="L15" i="14"/>
  <c r="M15" i="14" s="1"/>
  <c r="O16" i="16" s="1"/>
  <c r="L9" i="14"/>
  <c r="M9" i="14" s="1"/>
  <c r="O10" i="16" s="1"/>
  <c r="M2" i="7"/>
  <c r="N2" i="7" s="1"/>
  <c r="H3" i="16" s="1"/>
  <c r="M3" i="7"/>
  <c r="N3" i="7" s="1"/>
  <c r="M4" i="7"/>
  <c r="N4" i="7"/>
  <c r="M5" i="7"/>
  <c r="N5" i="7" s="1"/>
  <c r="H6" i="16" s="1"/>
  <c r="M6" i="7"/>
  <c r="N6" i="7"/>
  <c r="M7" i="7"/>
  <c r="N7" i="7" s="1"/>
  <c r="H8" i="16" s="1"/>
  <c r="M8" i="7"/>
  <c r="N8" i="7"/>
  <c r="M10" i="7"/>
  <c r="N10" i="7"/>
  <c r="M11" i="7"/>
  <c r="N11" i="7"/>
  <c r="H12" i="16" s="1"/>
  <c r="M12" i="7"/>
  <c r="N12" i="7"/>
  <c r="M13" i="7"/>
  <c r="N13" i="7" s="1"/>
  <c r="H14" i="16" s="1"/>
  <c r="M14" i="7"/>
  <c r="N14" i="7"/>
  <c r="M15" i="7"/>
  <c r="N15" i="7" s="1"/>
  <c r="M16" i="7"/>
  <c r="N16" i="7"/>
  <c r="H17" i="16"/>
  <c r="M19" i="7"/>
  <c r="N19" i="7"/>
  <c r="M20" i="7"/>
  <c r="N20" i="7"/>
  <c r="M21" i="7"/>
  <c r="N21" i="7"/>
  <c r="H22" i="16"/>
  <c r="M22" i="7"/>
  <c r="N22" i="7" s="1"/>
  <c r="M23" i="7"/>
  <c r="N23" i="7"/>
  <c r="M24" i="7"/>
  <c r="N24" i="7" s="1"/>
  <c r="M25" i="7"/>
  <c r="N25" i="7"/>
  <c r="M26" i="7"/>
  <c r="N26" i="7" s="1"/>
  <c r="H27" i="16" s="1"/>
  <c r="M27" i="7"/>
  <c r="N27" i="7"/>
  <c r="M28" i="7"/>
  <c r="N28" i="7"/>
  <c r="M29" i="7"/>
  <c r="N29" i="7"/>
  <c r="H30" i="16" s="1"/>
  <c r="M30" i="7"/>
  <c r="N30" i="7"/>
  <c r="M31" i="7"/>
  <c r="N31" i="7" s="1"/>
  <c r="H32" i="16" s="1"/>
  <c r="M32" i="7"/>
  <c r="N32" i="7"/>
  <c r="H33" i="16" s="1"/>
  <c r="M33" i="7"/>
  <c r="N33" i="7"/>
  <c r="M34" i="7"/>
  <c r="N34" i="7" s="1"/>
  <c r="H35" i="16" s="1"/>
  <c r="M35" i="7"/>
  <c r="N35" i="7"/>
  <c r="H36" i="16" s="1"/>
  <c r="M36" i="7"/>
  <c r="N36" i="7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Q23" i="16"/>
  <c r="Q10" i="16"/>
  <c r="M36" i="18"/>
  <c r="N36" i="18"/>
  <c r="Q37" i="16" s="1"/>
  <c r="M35" i="18"/>
  <c r="N35" i="18"/>
  <c r="Q36" i="16" s="1"/>
  <c r="M34" i="18"/>
  <c r="N34" i="18" s="1"/>
  <c r="Q35" i="16" s="1"/>
  <c r="M33" i="18"/>
  <c r="N33" i="18"/>
  <c r="Q34" i="16" s="1"/>
  <c r="M32" i="18"/>
  <c r="N32" i="18"/>
  <c r="Q33" i="16"/>
  <c r="M31" i="18"/>
  <c r="N31" i="18" s="1"/>
  <c r="Q32" i="16" s="1"/>
  <c r="M30" i="18"/>
  <c r="N30" i="18" s="1"/>
  <c r="Q31" i="16" s="1"/>
  <c r="M29" i="18"/>
  <c r="N29" i="18"/>
  <c r="Q30" i="16" s="1"/>
  <c r="M28" i="18"/>
  <c r="N28" i="18"/>
  <c r="Q29" i="16"/>
  <c r="M27" i="18"/>
  <c r="N27" i="18" s="1"/>
  <c r="Q28" i="16" s="1"/>
  <c r="M26" i="18"/>
  <c r="N26" i="18" s="1"/>
  <c r="Q27" i="16" s="1"/>
  <c r="M25" i="18"/>
  <c r="N25" i="18"/>
  <c r="Q26" i="16" s="1"/>
  <c r="M24" i="18"/>
  <c r="N24" i="18"/>
  <c r="Q25" i="16"/>
  <c r="M23" i="18"/>
  <c r="N23" i="18" s="1"/>
  <c r="Q24" i="16" s="1"/>
  <c r="M22" i="18"/>
  <c r="N22" i="18" s="1"/>
  <c r="M21" i="18"/>
  <c r="N21" i="18"/>
  <c r="Q22" i="16"/>
  <c r="M20" i="18"/>
  <c r="N20" i="18" s="1"/>
  <c r="Q21" i="16" s="1"/>
  <c r="M19" i="18"/>
  <c r="N19" i="18" s="1"/>
  <c r="Q20" i="16" s="1"/>
  <c r="M18" i="18"/>
  <c r="N18" i="18"/>
  <c r="Q19" i="16" s="1"/>
  <c r="M17" i="18"/>
  <c r="N17" i="18"/>
  <c r="Q18" i="16"/>
  <c r="M16" i="18"/>
  <c r="N16" i="18"/>
  <c r="Q17" i="16"/>
  <c r="M15" i="18"/>
  <c r="N15" i="18" s="1"/>
  <c r="Q16" i="16" s="1"/>
  <c r="M14" i="18"/>
  <c r="N14" i="18"/>
  <c r="Q15" i="16" s="1"/>
  <c r="M13" i="18"/>
  <c r="N13" i="18"/>
  <c r="Q14" i="16"/>
  <c r="M12" i="18"/>
  <c r="N12" i="18" s="1"/>
  <c r="Q13" i="16" s="1"/>
  <c r="M11" i="18"/>
  <c r="N11" i="18" s="1"/>
  <c r="Q12" i="16" s="1"/>
  <c r="M10" i="18"/>
  <c r="N10" i="18"/>
  <c r="Q11" i="16" s="1"/>
  <c r="M8" i="18"/>
  <c r="N8" i="18"/>
  <c r="Q9" i="16"/>
  <c r="M7" i="18"/>
  <c r="N7" i="18"/>
  <c r="Q8" i="16"/>
  <c r="M6" i="18"/>
  <c r="N6" i="18" s="1"/>
  <c r="Q7" i="16" s="1"/>
  <c r="M5" i="18"/>
  <c r="N5" i="18"/>
  <c r="Q6" i="16" s="1"/>
  <c r="M4" i="18"/>
  <c r="N4" i="18"/>
  <c r="Q5" i="16"/>
  <c r="M3" i="18"/>
  <c r="N3" i="18" s="1"/>
  <c r="Q4" i="16" s="1"/>
  <c r="M2" i="18"/>
  <c r="N2" i="18"/>
  <c r="Q3" i="16" s="1"/>
  <c r="L5" i="1"/>
  <c r="L6" i="1"/>
  <c r="L7" i="1"/>
  <c r="M7" i="1" s="1"/>
  <c r="B8" i="16" s="1"/>
  <c r="L8" i="1"/>
  <c r="M8" i="1" s="1"/>
  <c r="B9" i="16" s="1"/>
  <c r="L9" i="1"/>
  <c r="M9" i="1" s="1"/>
  <c r="B10" i="16" s="1"/>
  <c r="L10" i="1"/>
  <c r="M10" i="1"/>
  <c r="B11" i="16" s="1"/>
  <c r="L11" i="1"/>
  <c r="M11" i="1" s="1"/>
  <c r="B12" i="16" s="1"/>
  <c r="L12" i="1"/>
  <c r="M12" i="1"/>
  <c r="B13" i="16" s="1"/>
  <c r="L13" i="1"/>
  <c r="M13" i="1" s="1"/>
  <c r="B14" i="16" s="1"/>
  <c r="L14" i="1"/>
  <c r="M14" i="1"/>
  <c r="B15" i="16" s="1"/>
  <c r="L15" i="1"/>
  <c r="M15" i="1" s="1"/>
  <c r="B16" i="16" s="1"/>
  <c r="L16" i="1"/>
  <c r="M16" i="1"/>
  <c r="B17" i="16" s="1"/>
  <c r="L17" i="1"/>
  <c r="M17" i="1" s="1"/>
  <c r="B18" i="16" s="1"/>
  <c r="L18" i="1"/>
  <c r="M18" i="1"/>
  <c r="B19" i="16" s="1"/>
  <c r="L19" i="1"/>
  <c r="M19" i="1" s="1"/>
  <c r="B20" i="16" s="1"/>
  <c r="L20" i="1"/>
  <c r="M20" i="1" s="1"/>
  <c r="L21" i="1"/>
  <c r="M21" i="1" s="1"/>
  <c r="B22" i="16" s="1"/>
  <c r="L22" i="1"/>
  <c r="M22" i="1" s="1"/>
  <c r="B23" i="16" s="1"/>
  <c r="L23" i="1"/>
  <c r="M23" i="1" s="1"/>
  <c r="B24" i="16" s="1"/>
  <c r="L24" i="1"/>
  <c r="M24" i="1" s="1"/>
  <c r="L25" i="1"/>
  <c r="M25" i="1" s="1"/>
  <c r="B26" i="16" s="1"/>
  <c r="L26" i="1"/>
  <c r="M26" i="1" s="1"/>
  <c r="B27" i="16" s="1"/>
  <c r="L27" i="1"/>
  <c r="M27" i="1" s="1"/>
  <c r="B28" i="16" s="1"/>
  <c r="L28" i="1"/>
  <c r="M28" i="1" s="1"/>
  <c r="B29" i="16" s="1"/>
  <c r="L29" i="1"/>
  <c r="M29" i="1" s="1"/>
  <c r="B30" i="16" s="1"/>
  <c r="L30" i="1"/>
  <c r="M30" i="1" s="1"/>
  <c r="B31" i="16" s="1"/>
  <c r="L31" i="1"/>
  <c r="M31" i="1" s="1"/>
  <c r="B32" i="16" s="1"/>
  <c r="L32" i="1"/>
  <c r="M32" i="1" s="1"/>
  <c r="B33" i="16" s="1"/>
  <c r="L33" i="1"/>
  <c r="M33" i="1" s="1"/>
  <c r="B34" i="16" s="1"/>
  <c r="L34" i="1"/>
  <c r="M34" i="1" s="1"/>
  <c r="B35" i="16" s="1"/>
  <c r="L35" i="1"/>
  <c r="M35" i="1" s="1"/>
  <c r="B36" i="16" s="1"/>
  <c r="L36" i="1"/>
  <c r="M36" i="1" s="1"/>
  <c r="B37" i="16" s="1"/>
  <c r="L9" i="3"/>
  <c r="M9" i="3" s="1"/>
  <c r="D10" i="16" s="1"/>
  <c r="E10" i="16"/>
  <c r="F10" i="16"/>
  <c r="G10" i="16"/>
  <c r="H10" i="16"/>
  <c r="I10" i="16"/>
  <c r="J10" i="16"/>
  <c r="K10" i="16"/>
  <c r="M10" i="16"/>
  <c r="N10" i="16"/>
  <c r="P10" i="16"/>
  <c r="C10" i="16"/>
  <c r="L34" i="2"/>
  <c r="M34" i="2" s="1"/>
  <c r="C35" i="16" s="1"/>
  <c r="L34" i="3"/>
  <c r="M34" i="3" s="1"/>
  <c r="D35" i="16" s="1"/>
  <c r="E35" i="16"/>
  <c r="L34" i="5"/>
  <c r="M34" i="5" s="1"/>
  <c r="F35" i="16" s="1"/>
  <c r="G35" i="16"/>
  <c r="L34" i="8"/>
  <c r="M34" i="8" s="1"/>
  <c r="I35" i="16" s="1"/>
  <c r="L34" i="9"/>
  <c r="M34" i="9" s="1"/>
  <c r="J35" i="16" s="1"/>
  <c r="M34" i="10"/>
  <c r="N34" i="10"/>
  <c r="K35" i="16" s="1"/>
  <c r="L34" i="12"/>
  <c r="M34" i="12" s="1"/>
  <c r="M35" i="16" s="1"/>
  <c r="L34" i="13"/>
  <c r="M34" i="13" s="1"/>
  <c r="N35" i="16" s="1"/>
  <c r="L34" i="14"/>
  <c r="M34" i="14" s="1"/>
  <c r="O35" i="16" s="1"/>
  <c r="L34" i="15"/>
  <c r="M34" i="15" s="1"/>
  <c r="P35" i="16" s="1"/>
  <c r="L35" i="2"/>
  <c r="M35" i="2" s="1"/>
  <c r="C36" i="16" s="1"/>
  <c r="L35" i="3"/>
  <c r="M35" i="3" s="1"/>
  <c r="D36" i="16" s="1"/>
  <c r="L35" i="5"/>
  <c r="M35" i="5"/>
  <c r="F36" i="16" s="1"/>
  <c r="G36" i="16"/>
  <c r="L35" i="8"/>
  <c r="M35" i="8" s="1"/>
  <c r="I36" i="16" s="1"/>
  <c r="L35" i="9"/>
  <c r="M35" i="9" s="1"/>
  <c r="J36" i="16" s="1"/>
  <c r="M35" i="10"/>
  <c r="N35" i="10" s="1"/>
  <c r="K36" i="16" s="1"/>
  <c r="L35" i="12"/>
  <c r="M35" i="12"/>
  <c r="M36" i="16" s="1"/>
  <c r="L35" i="13"/>
  <c r="M35" i="13"/>
  <c r="N36" i="16" s="1"/>
  <c r="L35" i="14"/>
  <c r="M35" i="14" s="1"/>
  <c r="O36" i="16" s="1"/>
  <c r="L35" i="15"/>
  <c r="M35" i="15" s="1"/>
  <c r="P36" i="16" s="1"/>
  <c r="L32" i="2"/>
  <c r="M32" i="2" s="1"/>
  <c r="C33" i="16" s="1"/>
  <c r="L32" i="3"/>
  <c r="M32" i="3"/>
  <c r="D33" i="16" s="1"/>
  <c r="L32" i="5"/>
  <c r="M32" i="5" s="1"/>
  <c r="F33" i="16" s="1"/>
  <c r="G33" i="16"/>
  <c r="L32" i="8"/>
  <c r="M32" i="8" s="1"/>
  <c r="I33" i="16" s="1"/>
  <c r="L32" i="9"/>
  <c r="M32" i="9"/>
  <c r="J33" i="16" s="1"/>
  <c r="M32" i="10"/>
  <c r="N32" i="10" s="1"/>
  <c r="K33" i="16"/>
  <c r="L32" i="12"/>
  <c r="M32" i="12"/>
  <c r="M33" i="16" s="1"/>
  <c r="L32" i="13"/>
  <c r="M32" i="13" s="1"/>
  <c r="N33" i="16" s="1"/>
  <c r="L32" i="14"/>
  <c r="M32" i="14" s="1"/>
  <c r="O33" i="16" s="1"/>
  <c r="L32" i="15"/>
  <c r="M32" i="15" s="1"/>
  <c r="P33" i="16" s="1"/>
  <c r="L31" i="2"/>
  <c r="M31" i="2"/>
  <c r="C32" i="16" s="1"/>
  <c r="L31" i="3"/>
  <c r="M31" i="3" s="1"/>
  <c r="D32" i="16" s="1"/>
  <c r="L31" i="5"/>
  <c r="M31" i="5" s="1"/>
  <c r="F32" i="16" s="1"/>
  <c r="G32" i="16"/>
  <c r="L31" i="8"/>
  <c r="M31" i="8" s="1"/>
  <c r="I32" i="16" s="1"/>
  <c r="L31" i="9"/>
  <c r="M31" i="9" s="1"/>
  <c r="J32" i="16" s="1"/>
  <c r="M31" i="10"/>
  <c r="N31" i="10"/>
  <c r="K32" i="16" s="1"/>
  <c r="L31" i="12"/>
  <c r="M31" i="12" s="1"/>
  <c r="M32" i="16"/>
  <c r="L31" i="13"/>
  <c r="M31" i="13"/>
  <c r="N32" i="16" s="1"/>
  <c r="L31" i="14"/>
  <c r="M31" i="14" s="1"/>
  <c r="O32" i="16" s="1"/>
  <c r="L31" i="15"/>
  <c r="M31" i="15" s="1"/>
  <c r="P32" i="16" s="1"/>
  <c r="L26" i="2"/>
  <c r="M26" i="2" s="1"/>
  <c r="C27" i="16" s="1"/>
  <c r="L26" i="3"/>
  <c r="M26" i="3" s="1"/>
  <c r="D27" i="16" s="1"/>
  <c r="E27" i="16"/>
  <c r="L26" i="5"/>
  <c r="M26" i="5" s="1"/>
  <c r="F27" i="16" s="1"/>
  <c r="G27" i="16"/>
  <c r="L26" i="8"/>
  <c r="M26" i="8" s="1"/>
  <c r="I27" i="16" s="1"/>
  <c r="L26" i="9"/>
  <c r="M26" i="9"/>
  <c r="J27" i="16" s="1"/>
  <c r="M26" i="10"/>
  <c r="N26" i="10" s="1"/>
  <c r="K27" i="16"/>
  <c r="L26" i="12"/>
  <c r="M26" i="12"/>
  <c r="M27" i="16" s="1"/>
  <c r="L26" i="13"/>
  <c r="M26" i="13" s="1"/>
  <c r="N27" i="16" s="1"/>
  <c r="L26" i="14"/>
  <c r="M26" i="14"/>
  <c r="O27" i="16" s="1"/>
  <c r="L26" i="15"/>
  <c r="M26" i="15" s="1"/>
  <c r="P27" i="16" s="1"/>
  <c r="L12" i="3"/>
  <c r="L12" i="5"/>
  <c r="M12" i="5" s="1"/>
  <c r="F13" i="16" s="1"/>
  <c r="L12" i="2"/>
  <c r="L12" i="8"/>
  <c r="L12" i="9"/>
  <c r="M12" i="9" s="1"/>
  <c r="J13" i="16" s="1"/>
  <c r="M12" i="10"/>
  <c r="N12" i="10" s="1"/>
  <c r="K13" i="16" s="1"/>
  <c r="L12" i="12"/>
  <c r="L12" i="13"/>
  <c r="L12" i="14"/>
  <c r="P13" i="16"/>
  <c r="L36" i="15"/>
  <c r="L33" i="15"/>
  <c r="M33" i="15" s="1"/>
  <c r="P34" i="16" s="1"/>
  <c r="L30" i="15"/>
  <c r="M30" i="15" s="1"/>
  <c r="P31" i="16" s="1"/>
  <c r="L29" i="15"/>
  <c r="M29" i="15" s="1"/>
  <c r="P30" i="16" s="1"/>
  <c r="L28" i="15"/>
  <c r="M28" i="15" s="1"/>
  <c r="P29" i="16" s="1"/>
  <c r="L27" i="15"/>
  <c r="M27" i="15" s="1"/>
  <c r="P28" i="16" s="1"/>
  <c r="L25" i="15"/>
  <c r="M25" i="15" s="1"/>
  <c r="P26" i="16" s="1"/>
  <c r="L24" i="15"/>
  <c r="M24" i="15" s="1"/>
  <c r="P25" i="16" s="1"/>
  <c r="L23" i="15"/>
  <c r="M23" i="15" s="1"/>
  <c r="P24" i="16" s="1"/>
  <c r="L22" i="15"/>
  <c r="M22" i="15" s="1"/>
  <c r="P23" i="16" s="1"/>
  <c r="L21" i="15"/>
  <c r="M21" i="15" s="1"/>
  <c r="P22" i="16" s="1"/>
  <c r="L20" i="15"/>
  <c r="M20" i="15" s="1"/>
  <c r="P21" i="16" s="1"/>
  <c r="L19" i="15"/>
  <c r="M19" i="15" s="1"/>
  <c r="P20" i="16" s="1"/>
  <c r="L18" i="15"/>
  <c r="M18" i="15" s="1"/>
  <c r="P19" i="16" s="1"/>
  <c r="L17" i="15"/>
  <c r="M17" i="15" s="1"/>
  <c r="P18" i="16" s="1"/>
  <c r="L16" i="15"/>
  <c r="M16" i="15" s="1"/>
  <c r="P17" i="16" s="1"/>
  <c r="L15" i="15"/>
  <c r="M15" i="15" s="1"/>
  <c r="P16" i="16" s="1"/>
  <c r="L14" i="15"/>
  <c r="M14" i="15" s="1"/>
  <c r="P15" i="16" s="1"/>
  <c r="L13" i="15"/>
  <c r="M13" i="15" s="1"/>
  <c r="P14" i="16" s="1"/>
  <c r="L11" i="15"/>
  <c r="M11" i="15" s="1"/>
  <c r="P12" i="16" s="1"/>
  <c r="L10" i="15"/>
  <c r="M10" i="15" s="1"/>
  <c r="P11" i="16" s="1"/>
  <c r="L8" i="15"/>
  <c r="M8" i="15" s="1"/>
  <c r="P9" i="16" s="1"/>
  <c r="L7" i="15"/>
  <c r="M7" i="15" s="1"/>
  <c r="P8" i="16" s="1"/>
  <c r="L6" i="15"/>
  <c r="M6" i="15" s="1"/>
  <c r="P7" i="16" s="1"/>
  <c r="L5" i="15"/>
  <c r="M5" i="15" s="1"/>
  <c r="P6" i="16" s="1"/>
  <c r="L4" i="15"/>
  <c r="M4" i="15" s="1"/>
  <c r="P5" i="16" s="1"/>
  <c r="L3" i="15"/>
  <c r="M3" i="15" s="1"/>
  <c r="P4" i="16" s="1"/>
  <c r="L2" i="15"/>
  <c r="M2" i="15" s="1"/>
  <c r="P3" i="16" s="1"/>
  <c r="L36" i="14"/>
  <c r="M36" i="14" s="1"/>
  <c r="O37" i="16" s="1"/>
  <c r="L33" i="14"/>
  <c r="M33" i="14" s="1"/>
  <c r="O34" i="16" s="1"/>
  <c r="L30" i="14"/>
  <c r="M30" i="14" s="1"/>
  <c r="O31" i="16" s="1"/>
  <c r="L29" i="14"/>
  <c r="M29" i="14" s="1"/>
  <c r="O30" i="16" s="1"/>
  <c r="L28" i="14"/>
  <c r="M28" i="14"/>
  <c r="O29" i="16" s="1"/>
  <c r="L27" i="14"/>
  <c r="M27" i="14" s="1"/>
  <c r="O28" i="16" s="1"/>
  <c r="L25" i="14"/>
  <c r="M25" i="14" s="1"/>
  <c r="O26" i="16" s="1"/>
  <c r="L24" i="14"/>
  <c r="M24" i="14" s="1"/>
  <c r="O25" i="16" s="1"/>
  <c r="L23" i="14"/>
  <c r="M23" i="14"/>
  <c r="O24" i="16" s="1"/>
  <c r="L22" i="14"/>
  <c r="M22" i="14" s="1"/>
  <c r="O23" i="16" s="1"/>
  <c r="L21" i="14"/>
  <c r="M21" i="14" s="1"/>
  <c r="O22" i="16" s="1"/>
  <c r="L20" i="14"/>
  <c r="M20" i="14" s="1"/>
  <c r="O21" i="16" s="1"/>
  <c r="L19" i="14"/>
  <c r="M19" i="14"/>
  <c r="O20" i="16" s="1"/>
  <c r="L18" i="14"/>
  <c r="M18" i="14" s="1"/>
  <c r="O19" i="16" s="1"/>
  <c r="L17" i="14"/>
  <c r="M17" i="14" s="1"/>
  <c r="O18" i="16" s="1"/>
  <c r="L16" i="14"/>
  <c r="M16" i="14" s="1"/>
  <c r="O17" i="16" s="1"/>
  <c r="L14" i="14"/>
  <c r="M14" i="14" s="1"/>
  <c r="O15" i="16" s="1"/>
  <c r="L13" i="14"/>
  <c r="M13" i="14" s="1"/>
  <c r="O14" i="16" s="1"/>
  <c r="M12" i="14"/>
  <c r="O13" i="16" s="1"/>
  <c r="L11" i="14"/>
  <c r="M11" i="14" s="1"/>
  <c r="O12" i="16" s="1"/>
  <c r="L10" i="14"/>
  <c r="M10" i="14" s="1"/>
  <c r="O11" i="16" s="1"/>
  <c r="L8" i="14"/>
  <c r="M8" i="14" s="1"/>
  <c r="O9" i="16" s="1"/>
  <c r="L7" i="14"/>
  <c r="M7" i="14" s="1"/>
  <c r="O8" i="16" s="1"/>
  <c r="L6" i="14"/>
  <c r="M6" i="14" s="1"/>
  <c r="O7" i="16" s="1"/>
  <c r="L5" i="14"/>
  <c r="M5" i="14" s="1"/>
  <c r="O6" i="16" s="1"/>
  <c r="L4" i="14"/>
  <c r="M4" i="14" s="1"/>
  <c r="O5" i="16" s="1"/>
  <c r="L3" i="14"/>
  <c r="M3" i="14" s="1"/>
  <c r="O4" i="16" s="1"/>
  <c r="L2" i="14"/>
  <c r="M2" i="14" s="1"/>
  <c r="O3" i="16" s="1"/>
  <c r="L36" i="13"/>
  <c r="M36" i="13" s="1"/>
  <c r="N37" i="16" s="1"/>
  <c r="L33" i="13"/>
  <c r="M33" i="13" s="1"/>
  <c r="N34" i="16" s="1"/>
  <c r="L30" i="13"/>
  <c r="M30" i="13"/>
  <c r="N31" i="16" s="1"/>
  <c r="L29" i="13"/>
  <c r="M29" i="13" s="1"/>
  <c r="N30" i="16" s="1"/>
  <c r="L28" i="13"/>
  <c r="M28" i="13" s="1"/>
  <c r="N29" i="16" s="1"/>
  <c r="L27" i="13"/>
  <c r="M27" i="13" s="1"/>
  <c r="N28" i="16" s="1"/>
  <c r="L25" i="13"/>
  <c r="M25" i="13"/>
  <c r="N26" i="16" s="1"/>
  <c r="L24" i="13"/>
  <c r="M24" i="13" s="1"/>
  <c r="N25" i="16" s="1"/>
  <c r="L23" i="13"/>
  <c r="M23" i="13" s="1"/>
  <c r="N24" i="16" s="1"/>
  <c r="L22" i="13"/>
  <c r="M22" i="13" s="1"/>
  <c r="N23" i="16" s="1"/>
  <c r="L21" i="13"/>
  <c r="M21" i="13" s="1"/>
  <c r="N22" i="16" s="1"/>
  <c r="L20" i="13"/>
  <c r="M20" i="13" s="1"/>
  <c r="N21" i="16" s="1"/>
  <c r="L19" i="13"/>
  <c r="M19" i="13"/>
  <c r="N20" i="16" s="1"/>
  <c r="L18" i="13"/>
  <c r="M18" i="13" s="1"/>
  <c r="N19" i="16" s="1"/>
  <c r="L17" i="13"/>
  <c r="M17" i="13" s="1"/>
  <c r="N18" i="16" s="1"/>
  <c r="L16" i="13"/>
  <c r="M16" i="13" s="1"/>
  <c r="N17" i="16" s="1"/>
  <c r="L15" i="13"/>
  <c r="M15" i="13" s="1"/>
  <c r="N16" i="16" s="1"/>
  <c r="L14" i="13"/>
  <c r="M14" i="13" s="1"/>
  <c r="N15" i="16" s="1"/>
  <c r="L13" i="13"/>
  <c r="M13" i="13" s="1"/>
  <c r="N14" i="16" s="1"/>
  <c r="M12" i="13"/>
  <c r="N13" i="16" s="1"/>
  <c r="L11" i="13"/>
  <c r="M11" i="13" s="1"/>
  <c r="N12" i="16" s="1"/>
  <c r="L10" i="13"/>
  <c r="M10" i="13" s="1"/>
  <c r="N11" i="16" s="1"/>
  <c r="L8" i="13"/>
  <c r="M8" i="13" s="1"/>
  <c r="N9" i="16" s="1"/>
  <c r="L7" i="13"/>
  <c r="M7" i="13" s="1"/>
  <c r="N8" i="16" s="1"/>
  <c r="L6" i="13"/>
  <c r="M6" i="13" s="1"/>
  <c r="N7" i="16" s="1"/>
  <c r="L5" i="13"/>
  <c r="M5" i="13" s="1"/>
  <c r="N6" i="16" s="1"/>
  <c r="L4" i="13"/>
  <c r="M4" i="13" s="1"/>
  <c r="N5" i="16" s="1"/>
  <c r="L3" i="13"/>
  <c r="M3" i="13"/>
  <c r="N4" i="16" s="1"/>
  <c r="L2" i="13"/>
  <c r="M2" i="13" s="1"/>
  <c r="N3" i="16" s="1"/>
  <c r="L36" i="12"/>
  <c r="M36" i="12" s="1"/>
  <c r="M37" i="16" s="1"/>
  <c r="L33" i="12"/>
  <c r="M33" i="12" s="1"/>
  <c r="M34" i="16" s="1"/>
  <c r="L30" i="12"/>
  <c r="M30" i="12"/>
  <c r="M31" i="16" s="1"/>
  <c r="L29" i="12"/>
  <c r="M29" i="12" s="1"/>
  <c r="M30" i="16" s="1"/>
  <c r="L28" i="12"/>
  <c r="M28" i="12" s="1"/>
  <c r="M29" i="16" s="1"/>
  <c r="L27" i="12"/>
  <c r="M27" i="12" s="1"/>
  <c r="M28" i="16" s="1"/>
  <c r="L25" i="12"/>
  <c r="M25" i="12"/>
  <c r="M26" i="16" s="1"/>
  <c r="L24" i="12"/>
  <c r="M24" i="12" s="1"/>
  <c r="M25" i="16" s="1"/>
  <c r="L23" i="12"/>
  <c r="M23" i="12" s="1"/>
  <c r="M24" i="16" s="1"/>
  <c r="L22" i="12"/>
  <c r="M22" i="12" s="1"/>
  <c r="M23" i="16" s="1"/>
  <c r="L21" i="12"/>
  <c r="M21" i="12"/>
  <c r="M22" i="16" s="1"/>
  <c r="L20" i="12"/>
  <c r="M20" i="12" s="1"/>
  <c r="M21" i="16" s="1"/>
  <c r="L19" i="12"/>
  <c r="M19" i="12" s="1"/>
  <c r="M20" i="16" s="1"/>
  <c r="L18" i="12"/>
  <c r="M18" i="12" s="1"/>
  <c r="M19" i="16" s="1"/>
  <c r="L17" i="12"/>
  <c r="M17" i="12" s="1"/>
  <c r="M18" i="16" s="1"/>
  <c r="L16" i="12"/>
  <c r="M16" i="12" s="1"/>
  <c r="M17" i="16" s="1"/>
  <c r="L15" i="12"/>
  <c r="M15" i="12" s="1"/>
  <c r="M16" i="16" s="1"/>
  <c r="L14" i="12"/>
  <c r="M14" i="12" s="1"/>
  <c r="M15" i="16" s="1"/>
  <c r="L13" i="12"/>
  <c r="M13" i="12"/>
  <c r="M14" i="16" s="1"/>
  <c r="M12" i="12"/>
  <c r="M13" i="16" s="1"/>
  <c r="L11" i="12"/>
  <c r="M11" i="12" s="1"/>
  <c r="M12" i="16" s="1"/>
  <c r="L10" i="12"/>
  <c r="M10" i="12"/>
  <c r="M11" i="16" s="1"/>
  <c r="L8" i="12"/>
  <c r="M8" i="12" s="1"/>
  <c r="M9" i="16" s="1"/>
  <c r="L7" i="12"/>
  <c r="M7" i="12" s="1"/>
  <c r="M8" i="16" s="1"/>
  <c r="L6" i="12"/>
  <c r="M6" i="12" s="1"/>
  <c r="M7" i="16" s="1"/>
  <c r="L5" i="12"/>
  <c r="M5" i="12"/>
  <c r="M6" i="16" s="1"/>
  <c r="L4" i="12"/>
  <c r="M4" i="12" s="1"/>
  <c r="M5" i="16" s="1"/>
  <c r="L3" i="12"/>
  <c r="M3" i="12" s="1"/>
  <c r="M4" i="16" s="1"/>
  <c r="L2" i="12"/>
  <c r="M2" i="12" s="1"/>
  <c r="M3" i="16" s="1"/>
  <c r="L8" i="11"/>
  <c r="M8" i="11"/>
  <c r="L8" i="16" s="1"/>
  <c r="L7" i="11"/>
  <c r="M7" i="11" s="1"/>
  <c r="L7" i="16" s="1"/>
  <c r="L6" i="11"/>
  <c r="M6" i="11" s="1"/>
  <c r="L6" i="16" s="1"/>
  <c r="L4" i="11"/>
  <c r="M4" i="11" s="1"/>
  <c r="L5" i="16" s="1"/>
  <c r="L3" i="11"/>
  <c r="M3" i="11" s="1"/>
  <c r="L4" i="16" s="1"/>
  <c r="L2" i="11"/>
  <c r="M2" i="11" s="1"/>
  <c r="L3" i="16" s="1"/>
  <c r="M36" i="10"/>
  <c r="N36" i="10" s="1"/>
  <c r="K37" i="16" s="1"/>
  <c r="M33" i="10"/>
  <c r="N33" i="10" s="1"/>
  <c r="K34" i="16" s="1"/>
  <c r="M30" i="10"/>
  <c r="N30" i="10"/>
  <c r="K31" i="16" s="1"/>
  <c r="M29" i="10"/>
  <c r="N29" i="10" s="1"/>
  <c r="K30" i="16" s="1"/>
  <c r="M28" i="10"/>
  <c r="N28" i="10" s="1"/>
  <c r="K29" i="16" s="1"/>
  <c r="M27" i="10"/>
  <c r="N27" i="10" s="1"/>
  <c r="K28" i="16" s="1"/>
  <c r="M25" i="10"/>
  <c r="N25" i="10"/>
  <c r="K26" i="16" s="1"/>
  <c r="M24" i="10"/>
  <c r="N24" i="10" s="1"/>
  <c r="K25" i="16" s="1"/>
  <c r="M23" i="10"/>
  <c r="N23" i="10" s="1"/>
  <c r="K24" i="16" s="1"/>
  <c r="M22" i="10"/>
  <c r="N22" i="10" s="1"/>
  <c r="K23" i="16" s="1"/>
  <c r="M21" i="10"/>
  <c r="N21" i="10"/>
  <c r="K22" i="16" s="1"/>
  <c r="M20" i="10"/>
  <c r="N20" i="10" s="1"/>
  <c r="K21" i="16" s="1"/>
  <c r="M19" i="10"/>
  <c r="N19" i="10" s="1"/>
  <c r="K20" i="16" s="1"/>
  <c r="M18" i="10"/>
  <c r="N18" i="10" s="1"/>
  <c r="K19" i="16" s="1"/>
  <c r="M17" i="10"/>
  <c r="N17" i="10"/>
  <c r="K18" i="16" s="1"/>
  <c r="M16" i="10"/>
  <c r="N16" i="10" s="1"/>
  <c r="K17" i="16" s="1"/>
  <c r="M15" i="10"/>
  <c r="N15" i="10" s="1"/>
  <c r="K16" i="16" s="1"/>
  <c r="M14" i="10"/>
  <c r="N14" i="10" s="1"/>
  <c r="K15" i="16" s="1"/>
  <c r="M13" i="10"/>
  <c r="N13" i="10"/>
  <c r="K14" i="16" s="1"/>
  <c r="M11" i="10"/>
  <c r="N11" i="10" s="1"/>
  <c r="K12" i="16" s="1"/>
  <c r="M10" i="10"/>
  <c r="N10" i="10"/>
  <c r="K11" i="16" s="1"/>
  <c r="M8" i="10"/>
  <c r="N8" i="10" s="1"/>
  <c r="K9" i="16"/>
  <c r="M7" i="10"/>
  <c r="N7" i="10" s="1"/>
  <c r="K8" i="16" s="1"/>
  <c r="M6" i="10"/>
  <c r="N6" i="10" s="1"/>
  <c r="K7" i="16" s="1"/>
  <c r="M5" i="10"/>
  <c r="N5" i="10"/>
  <c r="K6" i="16" s="1"/>
  <c r="M4" i="10"/>
  <c r="N4" i="10" s="1"/>
  <c r="K5" i="16"/>
  <c r="M3" i="10"/>
  <c r="N3" i="10" s="1"/>
  <c r="K4" i="16" s="1"/>
  <c r="M2" i="10"/>
  <c r="N2" i="10" s="1"/>
  <c r="K3" i="16" s="1"/>
  <c r="L36" i="9"/>
  <c r="M36" i="9" s="1"/>
  <c r="J37" i="16" s="1"/>
  <c r="L33" i="9"/>
  <c r="M33" i="9" s="1"/>
  <c r="J34" i="16"/>
  <c r="L30" i="9"/>
  <c r="M30" i="9" s="1"/>
  <c r="J31" i="16" s="1"/>
  <c r="L29" i="9"/>
  <c r="M29" i="9" s="1"/>
  <c r="J30" i="16" s="1"/>
  <c r="L28" i="9"/>
  <c r="M28" i="9"/>
  <c r="J29" i="16" s="1"/>
  <c r="L27" i="9"/>
  <c r="M27" i="9" s="1"/>
  <c r="J28" i="16" s="1"/>
  <c r="L25" i="9"/>
  <c r="M25" i="9" s="1"/>
  <c r="J26" i="16" s="1"/>
  <c r="L24" i="9"/>
  <c r="M24" i="9" s="1"/>
  <c r="J25" i="16"/>
  <c r="L23" i="9"/>
  <c r="M23" i="9" s="1"/>
  <c r="J24" i="16" s="1"/>
  <c r="L22" i="9"/>
  <c r="M22" i="9" s="1"/>
  <c r="J23" i="16" s="1"/>
  <c r="L21" i="9"/>
  <c r="M21" i="9"/>
  <c r="J22" i="16" s="1"/>
  <c r="L20" i="9"/>
  <c r="M20" i="9" s="1"/>
  <c r="J21" i="16" s="1"/>
  <c r="L19" i="9"/>
  <c r="M19" i="9" s="1"/>
  <c r="J20" i="16" s="1"/>
  <c r="L18" i="9"/>
  <c r="M18" i="9" s="1"/>
  <c r="J19" i="16" s="1"/>
  <c r="L17" i="9"/>
  <c r="M17" i="9" s="1"/>
  <c r="J18" i="16" s="1"/>
  <c r="L16" i="9"/>
  <c r="M16" i="9"/>
  <c r="J17" i="16" s="1"/>
  <c r="L15" i="9"/>
  <c r="M15" i="9" s="1"/>
  <c r="J16" i="16" s="1"/>
  <c r="L14" i="9"/>
  <c r="M14" i="9" s="1"/>
  <c r="J15" i="16" s="1"/>
  <c r="L13" i="9"/>
  <c r="M13" i="9" s="1"/>
  <c r="J14" i="16" s="1"/>
  <c r="L11" i="9"/>
  <c r="M11" i="9" s="1"/>
  <c r="J12" i="16" s="1"/>
  <c r="L10" i="9"/>
  <c r="M10" i="9" s="1"/>
  <c r="J11" i="16" s="1"/>
  <c r="L8" i="9"/>
  <c r="M8" i="9" s="1"/>
  <c r="J9" i="16" s="1"/>
  <c r="L7" i="9"/>
  <c r="M7" i="9" s="1"/>
  <c r="J8" i="16" s="1"/>
  <c r="L6" i="9"/>
  <c r="M6" i="9" s="1"/>
  <c r="J7" i="16" s="1"/>
  <c r="L5" i="9"/>
  <c r="M5" i="9" s="1"/>
  <c r="J6" i="16" s="1"/>
  <c r="L4" i="9"/>
  <c r="M4" i="9" s="1"/>
  <c r="J5" i="16" s="1"/>
  <c r="L3" i="9"/>
  <c r="M3" i="9" s="1"/>
  <c r="J4" i="16" s="1"/>
  <c r="L2" i="9"/>
  <c r="M2" i="9"/>
  <c r="J3" i="16" s="1"/>
  <c r="L36" i="8"/>
  <c r="M36" i="8" s="1"/>
  <c r="I37" i="16"/>
  <c r="L33" i="8"/>
  <c r="M33" i="8" s="1"/>
  <c r="I34" i="16" s="1"/>
  <c r="L30" i="8"/>
  <c r="M30" i="8" s="1"/>
  <c r="I31" i="16" s="1"/>
  <c r="L29" i="8"/>
  <c r="M29" i="8"/>
  <c r="I30" i="16" s="1"/>
  <c r="L28" i="8"/>
  <c r="M28" i="8" s="1"/>
  <c r="I29" i="16" s="1"/>
  <c r="L27" i="8"/>
  <c r="M27" i="8" s="1"/>
  <c r="I28" i="16" s="1"/>
  <c r="L25" i="8"/>
  <c r="M25" i="8" s="1"/>
  <c r="I26" i="16" s="1"/>
  <c r="L24" i="8"/>
  <c r="M24" i="8"/>
  <c r="I25" i="16" s="1"/>
  <c r="L23" i="8"/>
  <c r="M23" i="8" s="1"/>
  <c r="I24" i="16"/>
  <c r="L22" i="8"/>
  <c r="M22" i="8" s="1"/>
  <c r="I23" i="16" s="1"/>
  <c r="L21" i="8"/>
  <c r="M21" i="8" s="1"/>
  <c r="I22" i="16" s="1"/>
  <c r="L20" i="8"/>
  <c r="M20" i="8"/>
  <c r="I21" i="16" s="1"/>
  <c r="L19" i="8"/>
  <c r="M19" i="8" s="1"/>
  <c r="I20" i="16"/>
  <c r="L18" i="8"/>
  <c r="M18" i="8" s="1"/>
  <c r="I19" i="16" s="1"/>
  <c r="L17" i="8"/>
  <c r="M17" i="8" s="1"/>
  <c r="I18" i="16" s="1"/>
  <c r="L16" i="8"/>
  <c r="M16" i="8"/>
  <c r="I17" i="16" s="1"/>
  <c r="L15" i="8"/>
  <c r="M15" i="8" s="1"/>
  <c r="I16" i="16"/>
  <c r="L14" i="8"/>
  <c r="M14" i="8" s="1"/>
  <c r="I15" i="16" s="1"/>
  <c r="L13" i="8"/>
  <c r="M13" i="8" s="1"/>
  <c r="I14" i="16" s="1"/>
  <c r="M12" i="8"/>
  <c r="I13" i="16"/>
  <c r="L11" i="8"/>
  <c r="M11" i="8" s="1"/>
  <c r="I12" i="16" s="1"/>
  <c r="I11" i="16"/>
  <c r="L8" i="8"/>
  <c r="M8" i="8" s="1"/>
  <c r="I9" i="16" s="1"/>
  <c r="L7" i="8"/>
  <c r="M7" i="8" s="1"/>
  <c r="I8" i="16" s="1"/>
  <c r="L6" i="8"/>
  <c r="M6" i="8"/>
  <c r="I7" i="16" s="1"/>
  <c r="L5" i="8"/>
  <c r="M5" i="8" s="1"/>
  <c r="I6" i="16"/>
  <c r="L4" i="8"/>
  <c r="M4" i="8" s="1"/>
  <c r="I5" i="16" s="1"/>
  <c r="L3" i="8"/>
  <c r="M3" i="8" s="1"/>
  <c r="I4" i="16" s="1"/>
  <c r="L2" i="8"/>
  <c r="M2" i="8"/>
  <c r="I3" i="16" s="1"/>
  <c r="H37" i="16"/>
  <c r="H34" i="16"/>
  <c r="H31" i="16"/>
  <c r="H29" i="16"/>
  <c r="H28" i="16"/>
  <c r="H26" i="16"/>
  <c r="H25" i="16"/>
  <c r="H24" i="16"/>
  <c r="H23" i="16"/>
  <c r="H21" i="16"/>
  <c r="H20" i="16"/>
  <c r="H19" i="16"/>
  <c r="H18" i="16"/>
  <c r="H16" i="16"/>
  <c r="H15" i="16"/>
  <c r="H13" i="16"/>
  <c r="H11" i="16"/>
  <c r="H9" i="16"/>
  <c r="H7" i="16"/>
  <c r="H5" i="16"/>
  <c r="H4" i="16"/>
  <c r="G37" i="16"/>
  <c r="G34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9" i="16"/>
  <c r="G8" i="16"/>
  <c r="G7" i="16"/>
  <c r="G6" i="16"/>
  <c r="G5" i="16"/>
  <c r="G4" i="16"/>
  <c r="G3" i="16"/>
  <c r="L36" i="5"/>
  <c r="M36" i="5" s="1"/>
  <c r="F37" i="16" s="1"/>
  <c r="L33" i="5"/>
  <c r="M33" i="5" s="1"/>
  <c r="F34" i="16" s="1"/>
  <c r="L30" i="5"/>
  <c r="M30" i="5" s="1"/>
  <c r="F31" i="16" s="1"/>
  <c r="L29" i="5"/>
  <c r="M29" i="5" s="1"/>
  <c r="F30" i="16" s="1"/>
  <c r="L28" i="5"/>
  <c r="M28" i="5" s="1"/>
  <c r="F29" i="16" s="1"/>
  <c r="L27" i="5"/>
  <c r="M27" i="5"/>
  <c r="F28" i="16" s="1"/>
  <c r="L25" i="5"/>
  <c r="M25" i="5"/>
  <c r="F26" i="16" s="1"/>
  <c r="L24" i="5"/>
  <c r="M24" i="5" s="1"/>
  <c r="F25" i="16" s="1"/>
  <c r="L23" i="5"/>
  <c r="M23" i="5" s="1"/>
  <c r="F24" i="16" s="1"/>
  <c r="L22" i="5"/>
  <c r="M22" i="5" s="1"/>
  <c r="F23" i="16" s="1"/>
  <c r="L21" i="5"/>
  <c r="M21" i="5" s="1"/>
  <c r="F22" i="16" s="1"/>
  <c r="L20" i="5"/>
  <c r="M20" i="5" s="1"/>
  <c r="F21" i="16" s="1"/>
  <c r="L19" i="5"/>
  <c r="M19" i="5" s="1"/>
  <c r="F20" i="16" s="1"/>
  <c r="L18" i="5"/>
  <c r="M18" i="5"/>
  <c r="F19" i="16" s="1"/>
  <c r="L17" i="5"/>
  <c r="M17" i="5"/>
  <c r="F18" i="16" s="1"/>
  <c r="L16" i="5"/>
  <c r="M16" i="5" s="1"/>
  <c r="F17" i="16" s="1"/>
  <c r="L15" i="5"/>
  <c r="M15" i="5" s="1"/>
  <c r="F16" i="16" s="1"/>
  <c r="L14" i="5"/>
  <c r="M14" i="5" s="1"/>
  <c r="F15" i="16" s="1"/>
  <c r="L13" i="5"/>
  <c r="M13" i="5" s="1"/>
  <c r="F14" i="16" s="1"/>
  <c r="L11" i="5"/>
  <c r="M11" i="5"/>
  <c r="F12" i="16" s="1"/>
  <c r="L10" i="5"/>
  <c r="M10" i="5"/>
  <c r="F11" i="16" s="1"/>
  <c r="L8" i="5"/>
  <c r="M8" i="5" s="1"/>
  <c r="F9" i="16" s="1"/>
  <c r="L7" i="5"/>
  <c r="M7" i="5" s="1"/>
  <c r="F8" i="16" s="1"/>
  <c r="L6" i="5"/>
  <c r="M6" i="5" s="1"/>
  <c r="F7" i="16" s="1"/>
  <c r="L5" i="5"/>
  <c r="M5" i="5" s="1"/>
  <c r="F6" i="16" s="1"/>
  <c r="L4" i="5"/>
  <c r="M4" i="5" s="1"/>
  <c r="F5" i="16" s="1"/>
  <c r="L3" i="5"/>
  <c r="M3" i="5" s="1"/>
  <c r="F4" i="16" s="1"/>
  <c r="L2" i="5"/>
  <c r="M2" i="5"/>
  <c r="F3" i="16" s="1"/>
  <c r="E34" i="16"/>
  <c r="E31" i="16"/>
  <c r="E30" i="16"/>
  <c r="E26" i="16"/>
  <c r="E23" i="16"/>
  <c r="E22" i="16"/>
  <c r="E20" i="16"/>
  <c r="E19" i="16"/>
  <c r="E18" i="16"/>
  <c r="E16" i="16"/>
  <c r="E15" i="16"/>
  <c r="E14" i="16"/>
  <c r="E11" i="16"/>
  <c r="E9" i="16"/>
  <c r="E8" i="16"/>
  <c r="E5" i="16"/>
  <c r="E4" i="16"/>
  <c r="L36" i="3"/>
  <c r="M36" i="3" s="1"/>
  <c r="D37" i="16" s="1"/>
  <c r="L33" i="3"/>
  <c r="M33" i="3" s="1"/>
  <c r="D34" i="16" s="1"/>
  <c r="L30" i="3"/>
  <c r="M30" i="3" s="1"/>
  <c r="D31" i="16" s="1"/>
  <c r="L29" i="3"/>
  <c r="M29" i="3" s="1"/>
  <c r="D30" i="16" s="1"/>
  <c r="L28" i="3"/>
  <c r="M28" i="3"/>
  <c r="D29" i="16" s="1"/>
  <c r="L27" i="3"/>
  <c r="M27" i="3" s="1"/>
  <c r="D28" i="16" s="1"/>
  <c r="L25" i="3"/>
  <c r="M25" i="3" s="1"/>
  <c r="D26" i="16" s="1"/>
  <c r="L24" i="3"/>
  <c r="M24" i="3" s="1"/>
  <c r="D25" i="16" s="1"/>
  <c r="L23" i="3"/>
  <c r="M23" i="3" s="1"/>
  <c r="D24" i="16" s="1"/>
  <c r="L22" i="3"/>
  <c r="M22" i="3"/>
  <c r="D23" i="16" s="1"/>
  <c r="L21" i="3"/>
  <c r="M21" i="3" s="1"/>
  <c r="D22" i="16" s="1"/>
  <c r="L20" i="3"/>
  <c r="M20" i="3" s="1"/>
  <c r="D21" i="16" s="1"/>
  <c r="L19" i="3"/>
  <c r="M19" i="3" s="1"/>
  <c r="D20" i="16" s="1"/>
  <c r="L18" i="3"/>
  <c r="M18" i="3" s="1"/>
  <c r="D19" i="16" s="1"/>
  <c r="L17" i="3"/>
  <c r="M17" i="3" s="1"/>
  <c r="D18" i="16" s="1"/>
  <c r="L16" i="3"/>
  <c r="M16" i="3" s="1"/>
  <c r="D17" i="16" s="1"/>
  <c r="L15" i="3"/>
  <c r="M15" i="3" s="1"/>
  <c r="D16" i="16" s="1"/>
  <c r="L14" i="3"/>
  <c r="M14" i="3" s="1"/>
  <c r="D15" i="16" s="1"/>
  <c r="L13" i="3"/>
  <c r="M13" i="3" s="1"/>
  <c r="D14" i="16" s="1"/>
  <c r="M12" i="3"/>
  <c r="D13" i="16"/>
  <c r="L11" i="3"/>
  <c r="M11" i="3" s="1"/>
  <c r="D12" i="16" s="1"/>
  <c r="L10" i="3"/>
  <c r="M10" i="3" s="1"/>
  <c r="D11" i="16" s="1"/>
  <c r="L8" i="3"/>
  <c r="M8" i="3" s="1"/>
  <c r="D9" i="16" s="1"/>
  <c r="L7" i="3"/>
  <c r="M7" i="3" s="1"/>
  <c r="D8" i="16" s="1"/>
  <c r="L6" i="3"/>
  <c r="M6" i="3"/>
  <c r="D7" i="16" s="1"/>
  <c r="L5" i="3"/>
  <c r="M5" i="3" s="1"/>
  <c r="D6" i="16" s="1"/>
  <c r="L4" i="3"/>
  <c r="M4" i="3" s="1"/>
  <c r="D5" i="16" s="1"/>
  <c r="L3" i="3"/>
  <c r="M3" i="3" s="1"/>
  <c r="D4" i="16" s="1"/>
  <c r="L2" i="3"/>
  <c r="M2" i="3" s="1"/>
  <c r="D3" i="16" s="1"/>
  <c r="L36" i="2"/>
  <c r="M36" i="2" s="1"/>
  <c r="C37" i="16" s="1"/>
  <c r="L33" i="2"/>
  <c r="M33" i="2" s="1"/>
  <c r="C34" i="16" s="1"/>
  <c r="L30" i="2"/>
  <c r="M30" i="2" s="1"/>
  <c r="C31" i="16" s="1"/>
  <c r="L29" i="2"/>
  <c r="M29" i="2"/>
  <c r="C30" i="16" s="1"/>
  <c r="L28" i="2"/>
  <c r="M28" i="2" s="1"/>
  <c r="C29" i="16" s="1"/>
  <c r="L27" i="2"/>
  <c r="M27" i="2"/>
  <c r="C28" i="16" s="1"/>
  <c r="L25" i="2"/>
  <c r="M25" i="2" s="1"/>
  <c r="C26" i="16" s="1"/>
  <c r="L24" i="2"/>
  <c r="M24" i="2" s="1"/>
  <c r="C25" i="16" s="1"/>
  <c r="L23" i="2"/>
  <c r="M23" i="2" s="1"/>
  <c r="C24" i="16" s="1"/>
  <c r="L22" i="2"/>
  <c r="M22" i="2" s="1"/>
  <c r="C23" i="16" s="1"/>
  <c r="L21" i="2"/>
  <c r="M21" i="2" s="1"/>
  <c r="C22" i="16" s="1"/>
  <c r="L20" i="2"/>
  <c r="M20" i="2"/>
  <c r="C21" i="16" s="1"/>
  <c r="L19" i="2"/>
  <c r="M19" i="2" s="1"/>
  <c r="C20" i="16" s="1"/>
  <c r="L18" i="2"/>
  <c r="M18" i="2"/>
  <c r="C19" i="16" s="1"/>
  <c r="L17" i="2"/>
  <c r="M17" i="2" s="1"/>
  <c r="C18" i="16" s="1"/>
  <c r="L16" i="2"/>
  <c r="M16" i="2" s="1"/>
  <c r="C17" i="16" s="1"/>
  <c r="L15" i="2"/>
  <c r="M15" i="2" s="1"/>
  <c r="C16" i="16" s="1"/>
  <c r="L14" i="2"/>
  <c r="M14" i="2" s="1"/>
  <c r="C15" i="16" s="1"/>
  <c r="L13" i="2"/>
  <c r="M13" i="2" s="1"/>
  <c r="C14" i="16" s="1"/>
  <c r="M12" i="2"/>
  <c r="C13" i="16"/>
  <c r="L11" i="2"/>
  <c r="M11" i="2" s="1"/>
  <c r="C12" i="16" s="1"/>
  <c r="L10" i="2"/>
  <c r="M10" i="2" s="1"/>
  <c r="C11" i="16" s="1"/>
  <c r="L8" i="2"/>
  <c r="M8" i="2" s="1"/>
  <c r="C9" i="16" s="1"/>
  <c r="L7" i="2"/>
  <c r="M7" i="2" s="1"/>
  <c r="C8" i="16" s="1"/>
  <c r="L6" i="2"/>
  <c r="M6" i="2"/>
  <c r="C7" i="16" s="1"/>
  <c r="L5" i="2"/>
  <c r="M5" i="2"/>
  <c r="C6" i="16"/>
  <c r="L4" i="2"/>
  <c r="M4" i="2" s="1"/>
  <c r="C5" i="16" s="1"/>
  <c r="L3" i="2"/>
  <c r="M3" i="2" s="1"/>
  <c r="C4" i="16" s="1"/>
  <c r="L2" i="2"/>
  <c r="M2" i="2" s="1"/>
  <c r="C3" i="16" s="1"/>
  <c r="L3" i="1"/>
  <c r="M3" i="1" s="1"/>
  <c r="B4" i="16" s="1"/>
  <c r="L4" i="1"/>
  <c r="M4" i="1" s="1"/>
  <c r="B5" i="16" s="1"/>
  <c r="M5" i="1"/>
  <c r="B6" i="16" s="1"/>
  <c r="M6" i="1"/>
  <c r="B7" i="16" s="1"/>
  <c r="B21" i="16"/>
  <c r="B25" i="16"/>
  <c r="L2" i="1"/>
  <c r="M2" i="1" s="1"/>
  <c r="B3" i="16" s="1"/>
  <c r="Y31" i="16" l="1"/>
  <c r="Y32" i="16"/>
  <c r="Y34" i="16"/>
  <c r="Y13" i="16"/>
  <c r="Y15" i="16"/>
  <c r="M36" i="15"/>
  <c r="P37" i="16" s="1"/>
  <c r="Y11" i="16"/>
  <c r="Y29" i="16"/>
  <c r="Y5" i="16"/>
  <c r="Y25" i="16"/>
  <c r="Y16" i="16"/>
  <c r="Y35" i="16"/>
  <c r="Y28" i="16"/>
  <c r="Y24" i="16"/>
  <c r="Y18" i="16"/>
  <c r="Y23" i="16"/>
  <c r="Y22" i="16"/>
  <c r="Y7" i="16"/>
  <c r="Y19" i="16"/>
  <c r="Y27" i="16"/>
  <c r="Y3" i="16"/>
  <c r="Y26" i="16"/>
  <c r="Y14" i="16"/>
  <c r="Y9" i="16"/>
  <c r="Y20" i="16"/>
  <c r="Y33" i="16"/>
  <c r="Y8" i="16"/>
  <c r="Y6" i="16"/>
  <c r="Y30" i="16"/>
  <c r="Y21" i="16"/>
  <c r="Y17" i="16"/>
  <c r="Y12" i="16"/>
  <c r="Y4" i="16"/>
  <c r="Y36" i="16"/>
  <c r="T10" i="16"/>
  <c r="T25" i="16"/>
  <c r="T13" i="16"/>
  <c r="T26" i="16"/>
  <c r="S10" i="16"/>
  <c r="T36" i="16"/>
  <c r="S36" i="16"/>
  <c r="T35" i="16"/>
  <c r="S35" i="16"/>
  <c r="T34" i="16"/>
  <c r="S34" i="16"/>
  <c r="T33" i="16"/>
  <c r="S33" i="16"/>
  <c r="T32" i="16"/>
  <c r="S32" i="16"/>
  <c r="T31" i="16"/>
  <c r="S31" i="16"/>
  <c r="T30" i="16"/>
  <c r="S30" i="16"/>
  <c r="T29" i="16"/>
  <c r="S29" i="16"/>
  <c r="T28" i="16"/>
  <c r="S28" i="16"/>
  <c r="T27" i="16"/>
  <c r="S27" i="16"/>
  <c r="S26" i="16"/>
  <c r="S25" i="16"/>
  <c r="T24" i="16"/>
  <c r="S24" i="16"/>
  <c r="S23" i="16"/>
  <c r="T23" i="16"/>
  <c r="T22" i="16"/>
  <c r="S22" i="16"/>
  <c r="T21" i="16"/>
  <c r="S21" i="16"/>
  <c r="T20" i="16"/>
  <c r="S20" i="16"/>
  <c r="T19" i="16"/>
  <c r="S19" i="16"/>
  <c r="T18" i="16"/>
  <c r="S18" i="16"/>
  <c r="T17" i="16"/>
  <c r="S17" i="16"/>
  <c r="T16" i="16"/>
  <c r="S16" i="16"/>
  <c r="T15" i="16"/>
  <c r="S15" i="16"/>
  <c r="T14" i="16"/>
  <c r="S14" i="16"/>
  <c r="S13" i="16"/>
  <c r="T12" i="16"/>
  <c r="S12" i="16"/>
  <c r="T11" i="16"/>
  <c r="S11" i="16"/>
  <c r="T9" i="16"/>
  <c r="S9" i="16"/>
  <c r="T8" i="16"/>
  <c r="S8" i="16"/>
  <c r="S7" i="16"/>
  <c r="T7" i="16"/>
  <c r="T6" i="16"/>
  <c r="S6" i="16"/>
  <c r="T5" i="16"/>
  <c r="S5" i="16"/>
  <c r="T4" i="16"/>
  <c r="S4" i="16"/>
  <c r="T3" i="16"/>
  <c r="S3" i="16"/>
  <c r="T37" i="16" l="1"/>
  <c r="S37" i="16"/>
  <c r="Y37" i="16"/>
  <c r="U10" i="16"/>
  <c r="Z10" i="16" s="1"/>
  <c r="U26" i="16"/>
  <c r="Z26" i="16" s="1"/>
  <c r="U25" i="16"/>
  <c r="U13" i="16"/>
  <c r="U36" i="16"/>
  <c r="Z36" i="16" s="1"/>
  <c r="U35" i="16"/>
  <c r="U34" i="16"/>
  <c r="Z34" i="16" s="1"/>
  <c r="U33" i="16"/>
  <c r="Z33" i="16" s="1"/>
  <c r="U32" i="16"/>
  <c r="Z32" i="16" s="1"/>
  <c r="U31" i="16"/>
  <c r="Z31" i="16" s="1"/>
  <c r="U30" i="16"/>
  <c r="Z30" i="16" s="1"/>
  <c r="U29" i="16"/>
  <c r="Z29" i="16" s="1"/>
  <c r="U28" i="16"/>
  <c r="Z28" i="16" s="1"/>
  <c r="U27" i="16"/>
  <c r="Z27" i="16" s="1"/>
  <c r="U24" i="16"/>
  <c r="Z24" i="16" s="1"/>
  <c r="U23" i="16"/>
  <c r="Z23" i="16" s="1"/>
  <c r="U22" i="16"/>
  <c r="Z22" i="16" s="1"/>
  <c r="U21" i="16"/>
  <c r="Z21" i="16" s="1"/>
  <c r="U20" i="16"/>
  <c r="Z20" i="16" s="1"/>
  <c r="U19" i="16"/>
  <c r="Z19" i="16" s="1"/>
  <c r="U18" i="16"/>
  <c r="Z18" i="16" s="1"/>
  <c r="U17" i="16"/>
  <c r="Z17" i="16" s="1"/>
  <c r="U16" i="16"/>
  <c r="Z16" i="16" s="1"/>
  <c r="U15" i="16"/>
  <c r="Z15" i="16" s="1"/>
  <c r="U14" i="16"/>
  <c r="Z14" i="16" s="1"/>
  <c r="U12" i="16"/>
  <c r="Z12" i="16" s="1"/>
  <c r="U11" i="16"/>
  <c r="Z11" i="16" s="1"/>
  <c r="U9" i="16"/>
  <c r="Z9" i="16" s="1"/>
  <c r="U8" i="16"/>
  <c r="Z8" i="16" s="1"/>
  <c r="U7" i="16"/>
  <c r="Z7" i="16" s="1"/>
  <c r="U6" i="16"/>
  <c r="Z6" i="16" s="1"/>
  <c r="U5" i="16"/>
  <c r="Z5" i="16" s="1"/>
  <c r="U4" i="16"/>
  <c r="Z4" i="16" s="1"/>
  <c r="U3" i="16"/>
  <c r="Z3" i="16" s="1"/>
  <c r="Z13" i="16" l="1"/>
  <c r="V13" i="16"/>
  <c r="X13" i="16" s="1"/>
  <c r="U37" i="16"/>
  <c r="W37" i="16" s="1"/>
  <c r="W26" i="16"/>
  <c r="X10" i="16"/>
  <c r="W10" i="16"/>
  <c r="Z35" i="16"/>
  <c r="V35" i="16"/>
  <c r="W35" i="16" s="1"/>
  <c r="X26" i="16"/>
  <c r="Z25" i="16"/>
  <c r="V25" i="16"/>
  <c r="W36" i="16"/>
  <c r="X36" i="16"/>
  <c r="W34" i="16"/>
  <c r="X34" i="16"/>
  <c r="W33" i="16"/>
  <c r="X33" i="16"/>
  <c r="W32" i="16"/>
  <c r="X32" i="16"/>
  <c r="X31" i="16"/>
  <c r="W31" i="16"/>
  <c r="W30" i="16"/>
  <c r="X30" i="16"/>
  <c r="W29" i="16"/>
  <c r="X29" i="16"/>
  <c r="W28" i="16"/>
  <c r="X28" i="16"/>
  <c r="X27" i="16"/>
  <c r="W27" i="16"/>
  <c r="W24" i="16"/>
  <c r="X24" i="16"/>
  <c r="X23" i="16"/>
  <c r="W23" i="16"/>
  <c r="W22" i="16"/>
  <c r="X22" i="16"/>
  <c r="W21" i="16"/>
  <c r="X21" i="16"/>
  <c r="W20" i="16"/>
  <c r="X20" i="16"/>
  <c r="X19" i="16"/>
  <c r="W19" i="16"/>
  <c r="W18" i="16"/>
  <c r="X18" i="16"/>
  <c r="W17" i="16"/>
  <c r="X17" i="16"/>
  <c r="W16" i="16"/>
  <c r="X16" i="16"/>
  <c r="X15" i="16"/>
  <c r="W15" i="16"/>
  <c r="W14" i="16"/>
  <c r="X14" i="16"/>
  <c r="W12" i="16"/>
  <c r="X12" i="16"/>
  <c r="X11" i="16"/>
  <c r="W11" i="16"/>
  <c r="X9" i="16"/>
  <c r="W9" i="16"/>
  <c r="W8" i="16"/>
  <c r="X8" i="16"/>
  <c r="W7" i="16"/>
  <c r="X7" i="16"/>
  <c r="X6" i="16"/>
  <c r="W6" i="16"/>
  <c r="X5" i="16"/>
  <c r="W5" i="16"/>
  <c r="W4" i="16"/>
  <c r="X4" i="16"/>
  <c r="W3" i="16"/>
  <c r="X3" i="16"/>
  <c r="X35" i="16" l="1"/>
  <c r="Z37" i="16"/>
  <c r="X37" i="16"/>
  <c r="W13" i="16"/>
  <c r="AB25" i="16"/>
  <c r="AC25" i="16"/>
  <c r="W25" i="16"/>
  <c r="X2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V1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Gabriel:
cargo novo, sem valor de referência</t>
        </r>
      </text>
    </comment>
    <comment ref="V2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Gabriel: 
cargo novo, sem valor de referência</t>
        </r>
      </text>
    </comment>
    <comment ref="V2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Gabriel:</t>
        </r>
        <r>
          <rPr>
            <sz val="9"/>
            <color indexed="81"/>
            <rFont val="Segoe UI"/>
            <family val="2"/>
          </rPr>
          <t xml:space="preserve">
cargo novo, não tem referência, utiliza o valor da média saneada</t>
        </r>
      </text>
    </comment>
    <comment ref="AA3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Gabriel:</t>
        </r>
        <r>
          <rPr>
            <sz val="9"/>
            <color indexed="81"/>
            <rFont val="Segoe UI"/>
            <family val="2"/>
          </rPr>
          <t xml:space="preserve">
mediana conforme a metodologia</t>
        </r>
      </text>
    </comment>
    <comment ref="V3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Gabriel:</t>
        </r>
        <r>
          <rPr>
            <sz val="9"/>
            <color indexed="81"/>
            <rFont val="Segoe UI"/>
            <family val="2"/>
          </rPr>
          <t xml:space="preserve">
cargo novo, sem referências</t>
        </r>
      </text>
    </comment>
  </commentList>
</comments>
</file>

<file path=xl/sharedStrings.xml><?xml version="1.0" encoding="utf-8"?>
<sst xmlns="http://schemas.openxmlformats.org/spreadsheetml/2006/main" count="4120" uniqueCount="497">
  <si>
    <t>Cargo</t>
  </si>
  <si>
    <t>Jornada Semanal (horas)</t>
  </si>
  <si>
    <t>CBO</t>
  </si>
  <si>
    <t xml:space="preserve">Escolaridade </t>
  </si>
  <si>
    <t>Qualificação Profissional /           Pós-graduação</t>
  </si>
  <si>
    <t>Experiência em anos</t>
  </si>
  <si>
    <t>Nível</t>
  </si>
  <si>
    <t>Atividades</t>
  </si>
  <si>
    <t xml:space="preserve">Salário ENSP (Atual)                    PE 13/2015                     </t>
  </si>
  <si>
    <t xml:space="preserve">Salário Fonte Pesquisa              </t>
  </si>
  <si>
    <t>Horas do Site</t>
  </si>
  <si>
    <t>Salário/hora</t>
  </si>
  <si>
    <t>Valor p/ Pesquisa  horas semanais ENSP</t>
  </si>
  <si>
    <t>Observação</t>
  </si>
  <si>
    <t xml:space="preserve">Assistente de Administração Institucional 2 </t>
  </si>
  <si>
    <t xml:space="preserve">Ensino Médio </t>
  </si>
  <si>
    <t>04 a 06</t>
  </si>
  <si>
    <t>Pleno</t>
  </si>
  <si>
    <t>Apoio nas áreas de recursos humanos, administração, ensino e logística; atendem fornecedores e clientes, fornecendo e recebendo informações sobre produtos e serviços; tratamento de documentos variados, cumprindo todo o procedimento necessário referente aos mesmos; apoio na preparação de relatórios e planilhas e outras atividades correlatas de complexidade similar.</t>
  </si>
  <si>
    <t xml:space="preserve">Assistente de Administração Institucional 3 </t>
  </si>
  <si>
    <t xml:space="preserve">06 a 08 </t>
  </si>
  <si>
    <t>Sênior</t>
  </si>
  <si>
    <t>Apoio técnico nas áreas de recursos humanos, administração, ensino, logística; Compras Governamentais; apoiar no Planejamento, Contratos Públicos, Patrimônio Público através dos sistemas governamentais; fornecer e receber informações sobre produtos e serviços; apoiar na preparação de relatórios, planilhas e outras atividades correlatas de complexidade similar.</t>
  </si>
  <si>
    <t>Auxiliar administrativo de Direção 2</t>
  </si>
  <si>
    <t>Apoio Técnico aos Serviços da Coordenação de Administração da ENSP nas áreas de execução logística, orçamentário-financeira, Compras Governamentais, Planejamento, Contratos Públicos, Patrimônio Público através dos sistemas governamentais, tais como: SEI, SICAF, CADIN e SIAFI/CPR, dentre outros. Apoiar atividades de desenvolvimento e gestão institucional, preparar relatórios e planilhas</t>
  </si>
  <si>
    <t>Analista Administrativo 1</t>
  </si>
  <si>
    <t>Ensino Superior</t>
  </si>
  <si>
    <t>Até 4</t>
  </si>
  <si>
    <t>Júnior</t>
  </si>
  <si>
    <t xml:space="preserve">Apoio técnico às atividades de planejamento, organização, controle e assessoria nas áreas de recursos humanos, compras, contratos, patrimônio, logística, informações, ensino, e operar os sistemas governamentais, tais como: SEI, SICAF, SIGEPE, CADIN e SIAFI/CPR, sistemas de avaliação de desempenho, dentre outros. Apoio na implementação de programas e projetos; na promoção de estudos de racionalização e no controle do desempenho organizacional, fiscalização de contratos e outras atividades correlatas de complexidade similar. </t>
  </si>
  <si>
    <t xml:space="preserve">Analista Administrativo 2 </t>
  </si>
  <si>
    <t xml:space="preserve">Analista Administrativo 3 </t>
  </si>
  <si>
    <t>Pós- graduação</t>
  </si>
  <si>
    <t>06 a 08</t>
  </si>
  <si>
    <t>Apoio técnico às atividades de planejamento, organização, controle e assessoria nas áreas de recursos humanos, compras, contratos, patrimônio, logística, informações, ensino, tecnológico, patrimônio, materiais, informações em saúde, entre outras; bem como na apoio na implementação de programas e projetos; apoio a elaboração de planejamento e desenvolvimento organizacional;  nas áreas de execução orçamentário-financeira, compras governamentais, planejamento, contratos públicos, além de operar sistemas governamentais tais como:  SEI, SIASG, SIGEPE, COMPRASNET, SICAF, CADIN, SICON e SIAFI/CPR e dentre outros. Apoiar a fiscalização de contratos, subsidiar as atividades de gestão da Instituição e outras atividades correlatas</t>
  </si>
  <si>
    <t xml:space="preserve">Analista Administrativo 4 </t>
  </si>
  <si>
    <t>Mais de 08</t>
  </si>
  <si>
    <t>Master</t>
  </si>
  <si>
    <t>Operador de Vídeo 2</t>
  </si>
  <si>
    <t>Curso profissionalizante</t>
  </si>
  <si>
    <t>Captar imagens pelas câmeras de cinema e vídeo para a realização de produções cinematográficas, televisivas e multimídia, com teor artístico, jornalístico, documental e publicitário. Captar imagens em movimento; interpretar visualmente o roteiro; executar conceito fotográfico e organizar produção de imagens, dialogando constantemente com a equipe de trabalho.</t>
  </si>
  <si>
    <t>Operador de Áudio 2</t>
  </si>
  <si>
    <t xml:space="preserve">Configurar, operar e monitorar sistemas de sonorização e gravação, tratar e compilar registros sonoros como editar registros, sincronizar e mixar músicas, criar projetos de sistemas de sonorização e gravação, instalar/desinstalar e testar funcionamento de equipamentos de áudio e acessórios, executar músicas e arquivos sonoros, selecionando e gerenciando repertório, pesquisar novas tecnologias de reprodução de áudio. </t>
  </si>
  <si>
    <t>Técnico Eletrônico 2</t>
  </si>
  <si>
    <t>Curso profissionalizante  Registro Entidade de Classe</t>
  </si>
  <si>
    <t>Consertar e instalar aparelhos eletrônicos, desenvolvem dispositivos de circuitos eletrônicos, fazer manutenções corretivas, preventivas e preditivas, sugerir mudanças no processo de produção, criar e implementar dispositivos de automação. Treinar, orientar e avaliar o desempenho de operadores. Estabelecer comunicação oral e escrita para agilizar o trabalho, redigir documentação técnica e organizar o local de trabalho. Consertar e instalar aparelhos eletrônicos, desenvolver dispositivos de circuitos eletrônicos.</t>
  </si>
  <si>
    <t>Pleno / Empresa Grande Porte / Guia LW  de Salários e Tendências de Remuneração 2021 / Ano II / Nr. 02</t>
  </si>
  <si>
    <t>Técnico em Segurança do Trabalho 2</t>
  </si>
  <si>
    <t xml:space="preserve">Curso profissionalizante </t>
  </si>
  <si>
    <t>Participar da elaboração e implementam política de saúde e segurança do trabalho, realizam diagnóstico da situação de SST da instituição, identificam variáveis de controle de doenças, acidentes, qualidade de vida e meio ambiente. Desenvolvem ações educativas na área de saúde e segurança do trabalho, integram processos de negociação. Participam da adoção de tecnologias e processos de trabalho, investigam, analisam acidentes de trabalho e recomendam medidas de prevenção e controle.</t>
  </si>
  <si>
    <t>Bibliotecário 2</t>
  </si>
  <si>
    <t xml:space="preserve">Ensino superior </t>
  </si>
  <si>
    <t>Registro Entidade de Classe</t>
  </si>
  <si>
    <t>Apoio à informação em qualquer suporte às unidades como bibliotecas, centros de documentação, centros de informação e correlatos, além de redes e sistemas de informação. Apoio ao tratamento técnico e ao desenvolvimento de recursos informacionais; subsidiar as atividades de disseminação da informação com o objetivo de facilitar o acesso e geração do conhecimento; apoio ao desenvolvimento de estudos e pesquisas, bem como da difusão cultural e ações educativas.</t>
  </si>
  <si>
    <t>Jornalista 3</t>
  </si>
  <si>
    <t>Especialização / Pós-Graduação</t>
  </si>
  <si>
    <t>Recolher, redigir, registrar através de imagens e de sons, apoio às atividades de interpretação e organização de informações e notícias a serem difundidas, expondo, analisando e comentando os acontecimentos. Auxiliar a seleção, revisão e preparo definitivo das matérias jornalísticas a serem divulgadas em jornais, revistas, televisão, rádio, internet, assessorias de imprensa e quaisquer outros meios de comunicação com o público.</t>
  </si>
  <si>
    <t>Orientador Educacional 3</t>
  </si>
  <si>
    <t xml:space="preserve">Assessorar projetos da área de Tecnologia Educacional, bem como processos de uso e apontar melhorias de software educacional. Analisar e propor novos recursos tecnológicos para uso educacional. Organizar documentação técnica das tecnologias utilizadas no Ensino. Assessorar docentes e alunos para o uso de ferramentas e sistemas em processos educativos e promover capacitações. Assessorar os setores da instituição sobre o uso de tecnologias digitais de informação e comunicação e de tecnologia assistiva aplicadas à educação. Elaborar relatórios técnicos para tomada de decisão. </t>
  </si>
  <si>
    <t>Fotógrafo 3</t>
  </si>
  <si>
    <t xml:space="preserve">Ensino Superior </t>
  </si>
  <si>
    <t>Cursos de formação</t>
  </si>
  <si>
    <t>Apoio técnico às atividades de criação de imagens fotográficas de acontecimentos, pessoas, paisagens, objetos e outros temas, em branco e preto ou colorido, utilizando câmeras fixas (de película ou digitais) e diversos acessórios. Escolher tema ou assunto da fotografia ou atender a demandas da instituição, segundo objetivos artísticos, jornalísticas, comerciais, industriais, científicas etc. Revelar e retocar negativos de filmes, tirar, ampliar e retocar cópias, criar efeitos gráficos em imagens obtidas por processos digitais e reproduzi-las sobre papel ou outro suporte, sob demanda.</t>
  </si>
  <si>
    <t>Designer 3</t>
  </si>
  <si>
    <t>Atuar com desenho industrial gráfico (designer gráfico), desenho de editorial, desenho de identidade visual, desenho de páginas da internet (web designer) e Tecnologia em design gráfico. Prestar apoio técnico as áreas mencionadas.</t>
  </si>
  <si>
    <t>Designer 4</t>
  </si>
  <si>
    <t>Editor 4</t>
  </si>
  <si>
    <t xml:space="preserve">Apoiar pesquisas, apuração e entrevistas para coberturas jornalísticas, fotojornalismo. Proposição e formulação de pautas e para redação com texto final. Tradução de conteúdos da Internet. Operação dos programas de computação necessários à execução das funções. O nível Master deverá ter competência para editar material jornalístico em mídia impressa e digital, bem como conduzir equipe de redação, com foco na qualidade e periodicidade dos produtos jornalísticos e habilidade e experiência em relações humanas no trabalho. </t>
  </si>
  <si>
    <t>Engenheiro de Segurança do Trabalho 2</t>
  </si>
  <si>
    <t>Ensino Superior  engenharia ou de tecnologia nas áreas de produção industrial e segurança do trabalho / registro na Entidade de classe</t>
  </si>
  <si>
    <t xml:space="preserve">Controlar perdas de processos, produtos e serviços ao identificar, determinar e analisar causas de perdas, estabelecendo plano de ações preventivas e corretivas. Desenvolver, testar e supervisionar sistemas, processos e métodos produtivos, gerenciar atividades de segurança no trabalho e do meio ambiente, gerenciar exposições a fatores ocupacionais de risco à saúde do trabalhador, planejar empreendimentos e atividades produtivas e coordenar equipes, treinamentos e atividades de trabalho. </t>
  </si>
  <si>
    <t>Auxiliar de Laboratório 3</t>
  </si>
  <si>
    <t>Experiência na função</t>
  </si>
  <si>
    <t>Coletar material biológico e amostras ambientais (água, solo, sedimentos, lodo, etc), sob orientação e preparar o paciente ou materiais para o exame ou análises. Auxiliar os técnicos no preparo de soluções, amostras, vacinas e injeções de medicamentos sob orientação e supervisão. Auxiliar a lavagem de materiais de laboratório.  Apoiar o preparo de meios de cultura, estabilizantes e hemoderivados. Organizar o trabalho; recuperar material de trabalho, lavando, secando, separando e embalando. Trabalhar em conformidade a normas e procedimentos técnicos e de biossegurança. Atuar em hospitais, laboratórios ou farmácia, nas funções de apoio.</t>
  </si>
  <si>
    <t>Técnico Laboratório 3</t>
  </si>
  <si>
    <t>Comprovação de Qualificação profissional</t>
  </si>
  <si>
    <t>Coletar material biológico e amostras ambientais (água, solo, sedimentos, lodo, etc), sob orientação e preparar o paciente ou materiais para o exame ou análises. Auxiliar os profissionais no preparo de soluções, amostras, vacinas e injeções de medicamentos sob orientação e supervisão. Auxiliar a lavagem de materiais de laboratório.  Apoiar o preparo de meios de cultura, estabilizantes e hemoderivados. Organizar o trabalho; recuperar material de trabalho, lavando, secando, separando e embalando. Trabalhar em conformidade a normas e procedimentos técnicos e de biossegurança. Atuar em hospitais, laboratórios ou farmácia, nas funções de apoio.</t>
  </si>
  <si>
    <t>Técnico em Espirometria 1</t>
  </si>
  <si>
    <t>Curso  Técnico de Enfermagem
Curso  técnico de Espirometria (função pulmonar) pela Sociedade Brasileira de Pneumologia e Tisiologia;</t>
  </si>
  <si>
    <t>Realizar exames de diagnóstico ou de tratamento; planejar atendimento; organizar área de trabalho, equipamentos e acessórios; operar equipamentos; preparar paciente para exame de diagnóstico ou de tratamento; atuar na orientação de pacientes.</t>
  </si>
  <si>
    <t xml:space="preserve">   Não encontrato (corresponde ao técnico em enfermagem pela formação) (Obs 20hrs) / Guia LW  de Salários e Tendências de Remuneração 2021 / Ano II / Nr. 02</t>
  </si>
  <si>
    <t>Técnico de enfermagem 1</t>
  </si>
  <si>
    <t>Ensino Médio</t>
  </si>
  <si>
    <t>Curso técnico  Enfermagem  registro na Entidade de Classe</t>
  </si>
  <si>
    <t>Apoio à prestação de assistência ao paciente, auxiliando a realização de consultas e procedimentos de maior complexidade e a prescrição de ações; auxiliar as ações para a promoção da saúde junto à comunidade. Apoiar a realização de pesquisas.</t>
  </si>
  <si>
    <t>Técnico de enfermagem 3</t>
  </si>
  <si>
    <t xml:space="preserve">Ensino médio </t>
  </si>
  <si>
    <t>Sênior / Empresa Grande Porte / Guia LW  de Salários e Tendências de Remuneração 2021 / Ano II / Nr. 02</t>
  </si>
  <si>
    <t xml:space="preserve">Técnico em Farmácia 3 </t>
  </si>
  <si>
    <t>Realizam operações farmacotécnicas, conferem fórmulas, efetuam manutenção de rotina em equipamentos, utensílios de laboratório e rótulos das matérias-primas. Controlam estoques, fazem testes de qualidade de matérias-primas, equipamentos e ambiente. Documentam atividades e procedimentos da manipulação farmacêutica. As atividades são desenvolvidas de acordo com as boas práticas de manipulação, sob supervisão direta do farmacêutico</t>
  </si>
  <si>
    <t>Fisioterapeuta geral 3</t>
  </si>
  <si>
    <t>Ensino superior  Fisioterapia /  registro  Entidade de Classe</t>
  </si>
  <si>
    <t>Aplicar técnicas fisioterapêuticas para prevenção, readaptação e recuperação de pacientes e clientes. Atender e avaliar as condições funcionais de pacientes e clientes utilizando protocolos e procedimentos específicos da fisioterapia e suas especialidades. Atuar na área de educação em saúde por meio de palestras, distribuição de materiais educativos e orientações para melhor qualidade de vida. Desenvolver e implementar programas de prevenção em saúde geral e do trabalho. Gerenciar serviços de saúde, orientando e supervisionando recursos humanos. Exercer atividades técnico-científicas através da realização de pesquisas, trabalhos específicos, organização e participação em eventos científicos.</t>
  </si>
  <si>
    <t>Nutricionista 3</t>
  </si>
  <si>
    <t>Ensino superior  Nutrição / Especialização / Pós-Graduação / registro  Entidade de Classe</t>
  </si>
  <si>
    <t>Prestar assistência nutricional a indivíduos e coletividades (sadios e enfermos); planejar, organizar, administrar e avaliar unidades de alimentação e nutrição; efetuar controle higiênico-sanitário; participar de programas de educação nutricional; estruturar e gerenciar serviços de atendimento ao consumidor de alimentos e ministrar cursos. Atuar em conformidade ao manual de boas práticas. Áreas de atuação: alimentação coletiva, concessionárias, ambulatório, consultório, saúde coletiva (programas institucionais, unidades primárias de saúde), saúde pública (vigilância sanitária e vigilância institucional).</t>
  </si>
  <si>
    <t>Farmacêutico 3</t>
  </si>
  <si>
    <t>Ensino superior  Farmácia Registro Entidade de Classe</t>
  </si>
  <si>
    <t>Profissional de Saúde – Atender pacientes e clientes para prevenção, habilitação e reabilitação de pessoas utilizando protocolos e procedimentos específicos. Tratar de pacientes e clientes; efetuar avaliação e diagnósticos; orientar pacientes, clientes, familiares, cuidadores e responsáveis; desenvolver programas de prevenção, promoção da saúde e qualidade de vida; exercer atividades administrativas, de ensino e pesquisa; administrar recursos humanos, materiais e financeiros.</t>
  </si>
  <si>
    <t>Farmacêutico 4</t>
  </si>
  <si>
    <t>Ensino superior  Farmácia / Especialização / Pós-Graduação / registro Entidade de Classe</t>
  </si>
  <si>
    <t>Atender pacientes e clientes para prevenção, habilitação e reabilitação de pessoas utilizando protocolos e procedimentos específicos. Tratar de pacientes e clientes; efetuar avaliação e diagnósticos; orientar pacientes, clientes, familiares, cuidadores e responsáveis; desenvolver programas de prevenção, promoção da saúde e qualidade de vida; exercer atividades administrativas, de ensino e pesquisa; administrar recursos humanos, materiais e financeiros.</t>
  </si>
  <si>
    <t>O site não possui o nível master para esse cargo, porém, para ser mantida a coerência da pesquisa, foi aplicada um percentual conservador de 10% sobre o valor do sênior para obtenção do master. A título de exemplo, o consultor de uma grande empresa nessa mesma fonte de pesquisa possui os salários dos cargos sênior (7392) e master (8904), ou seja 20% a mais.</t>
  </si>
  <si>
    <t>Biólogo 3</t>
  </si>
  <si>
    <t>Especialização / Pós-Graduação Registro Entidade de Classe</t>
  </si>
  <si>
    <t>Realização de diagnósticos biológicos, moleculares e ambientais, coleta e análise de amostras, realização de ensaios, identificação e classificação de espécies, emissão de laudos técnicos e pareceres, perícias, etc</t>
  </si>
  <si>
    <t>Fonoaudiólogo 3</t>
  </si>
  <si>
    <t>Realizar consultas e atendimentos médicos; tratar pacientes e clientes; programar  ações  para  promoção da saúde;   coordenar programas e serviços em saúde, efetuar perícias, auditorias e sindicâncias médicas; elaborar documentos e difundir conhecimentos da área médica.</t>
  </si>
  <si>
    <t>Químico 3</t>
  </si>
  <si>
    <t>Realizar ensaios, análises químicas e físico-químicas, selecionando metodologias, materiais, reagentes de análise e critérios de amostragem, homogeneizando e dimensionando, solubilizando amostras e produzindo substâncias. Desenvolver metodologias analíticas e interpretar dados químicos. Monitorar impacto ambiental de substâncias. Supervisionar procedimentos químicos e coordenar atividades químicas laboratoriais.</t>
  </si>
  <si>
    <t>Enfermeiro 2</t>
  </si>
  <si>
    <t>Ensino superior Enfermagem Registro Entidade de Classe / Especialização</t>
  </si>
  <si>
    <t xml:space="preserve">Prestar assistência ao paciente, auxiliando a realização de consultas e procedimentos de maior complexidade e a prescrição de ações; auxiliar as ações para a promoção da saúde junto à comunidade. Apoiar a realização de pesquisas. </t>
  </si>
  <si>
    <t>Enfermeiro 4</t>
  </si>
  <si>
    <t>Ensino superior Enfermagem Registro Entidade de Classe / Pós - Graduação</t>
  </si>
  <si>
    <t>Médico 4</t>
  </si>
  <si>
    <t>Ensino superior Medicina, credenciados  CRM, residência nas áreas da medicina / Pós-graduação</t>
  </si>
  <si>
    <t>RESUMO / PESQUISA SALARIAL</t>
  </si>
  <si>
    <t>CARGO</t>
  </si>
  <si>
    <t>SALARIO.COM</t>
  </si>
  <si>
    <t>TRABALHA BRASIL</t>
  </si>
  <si>
    <t>CARGOS.COM</t>
  </si>
  <si>
    <t>GLASSDOOR</t>
  </si>
  <si>
    <t>LEME</t>
  </si>
  <si>
    <t>CATHO</t>
  </si>
  <si>
    <t>ANEEL</t>
  </si>
  <si>
    <t>CJF</t>
  </si>
  <si>
    <t>FAR</t>
  </si>
  <si>
    <t>INI</t>
  </si>
  <si>
    <t>COGIC</t>
  </si>
  <si>
    <t>INCQS</t>
  </si>
  <si>
    <t>COC</t>
  </si>
  <si>
    <t>IFF</t>
  </si>
  <si>
    <t>BIO</t>
  </si>
  <si>
    <t>POLI</t>
  </si>
  <si>
    <t xml:space="preserve">ENSP             </t>
  </si>
  <si>
    <t>SOMA</t>
  </si>
  <si>
    <t xml:space="preserve">QTDADE </t>
  </si>
  <si>
    <t>MÉDIA</t>
  </si>
  <si>
    <t xml:space="preserve">Salário Atual              PE 13/2015                     (Atual Ensp)                </t>
  </si>
  <si>
    <t>Diferença R$</t>
  </si>
  <si>
    <t>Diferença %</t>
  </si>
  <si>
    <t>DP</t>
  </si>
  <si>
    <t>CV</t>
  </si>
  <si>
    <t>média saneada (CV&lt;25%)</t>
  </si>
  <si>
    <t>novo CV</t>
  </si>
  <si>
    <t>Observação (Horas semanais orientadas pela média geral do site, visto existirem várias cargas horáriasXsalários)</t>
  </si>
  <si>
    <t xml:space="preserve">  Nível II corresponde ao Pleno / Empresa Grande Porte / https://www.salario.com.br/profissao/assistente-administrativo-cbo-411010/rio-de-janeiro-rj/ Em: 02/01/2022</t>
  </si>
  <si>
    <t xml:space="preserve">  Nível III corresponde ao Sênior / Empresa Grande Porte / </t>
  </si>
  <si>
    <t xml:space="preserve">  Nível II corresponde ao Pleno / Empresa Grande Porte / https://www.salario.com.br/profissao/auxiliar-administrativo-de-diretoria-cbo-252305/rio-de-janeiro-rj/ Em: 02/01/2022</t>
  </si>
  <si>
    <t xml:space="preserve"> Júnior / Empresa Grande Porte / https://www.salario.com.br/profissao/analista-administrativo-cbo-252105/rio-de-janeiro-rj/ Em: 02/01/2022</t>
  </si>
  <si>
    <t xml:space="preserve">  Pleno / Empresa Grande Porte / https://www.salario.com.br/profissao/analista-administrativo-cbo-252105/rio-de-janeiro-rj/ Em: 02/01/2022</t>
  </si>
  <si>
    <t xml:space="preserve">  Sênior / Empresa Grande Porte / https://www.salario.com.br/profissao/analista-administrativo-cbo-252105/rio-de-janeiro-rj/ Em: 02/01/2022</t>
  </si>
  <si>
    <t xml:space="preserve">  3 Q+  (corresponde ao Master - média entre o teto e o 3Q) / Rio de Janeiro/RJ/ Empresa Grande Porte / O nivelamento do site só vai até o nível Sênior, adotou-se o teto geral para definir. https://www.salario.com.br/profissao/analista-administrativo-cbo-252105/rio-de-janeiro-rj/ Em: 02/01/2022</t>
  </si>
  <si>
    <t xml:space="preserve">  Nível II corresponde ao Pleno / Empresa Grande Porte / https://www.salario.com.br/profissao/operador-de-video-cbo-374405/rio-de-janeiro-rj/ Em: 02/01/2022</t>
  </si>
  <si>
    <t xml:space="preserve">  Nível II corresponde ao Pleno / Empresa Grande Porte / Inexistência do cargo genérico correspondente pelas atividades ao Operador de Áudio Externo na Produção Para Televisão e Produtora de Vídeo /  https://www.salario.com.br/resultados-da-busca/ Em: 02/01/2022</t>
  </si>
  <si>
    <t xml:space="preserve">  Nível II corresponde ao Pleno / Empresa Grande Porte / https://www.salario.com.br/profissao/tecnico-eletronico-cbo-313215/rio-de-janeiro-rj/ Em: 02/01/2022</t>
  </si>
  <si>
    <t xml:space="preserve">  Nível II corresponde ao Pleno / Empresa Grande Porte / https://www.salario.com.br/profissao/tecnico-em-seguranca-no-trabalho-cbo-351605/rio-de-janeiro-rj/ Em: 02/01/2022</t>
  </si>
  <si>
    <t xml:space="preserve">  Pleno / Empresa Grande Porte / https://www.salario.com.br/profissao/bibliotecario-cbo-261205/rio-de-janeiro-rj/ Em: 02/01/2022</t>
  </si>
  <si>
    <t xml:space="preserve"> Sênior / Empresa Grande Porte / https://www.salario.com.br/profissao/jornalista-cbo-261125/rio-de-janeiro-rj/ Em: 02/01/2022</t>
  </si>
  <si>
    <t xml:space="preserve">  Sênior / Empresa Grande Porte / https://www.salario.com.br/profissao/orientador-educacional-cbo-239410/rio-de-janeiro-rj/ Em: 02/01/2022</t>
  </si>
  <si>
    <t xml:space="preserve"> Nível III corresponde ao Sênior / Empresa Grande Porte / https://www.salario.com.br/resultados-da-busca/ Rio de Janeiro / Em: 02/01/2022</t>
  </si>
  <si>
    <t xml:space="preserve">  Sênior / Empresa Grande Porte / https://www.salario.com.br/profissao/desenhista-industrial-grafico-designer-grafico-cbo-262410/rio-de-janeiro-rj/ Em: 02/01/2022</t>
  </si>
  <si>
    <t xml:space="preserve">  3Q+(corresponde ao Master) / Empresa Grande Porte / Rio de Janeiro/RJ / O nivelamento do site só vai até o nível Sênior, adotou-se o teto geral para definir /  https://www.salario.com.br/profissao/desenhista-industrial-grafico-designer-grafico-cbo-262410/rio-de-janeiro-rj/ Em: 02/01/2022</t>
  </si>
  <si>
    <t xml:space="preserve">Apoiar pesquisas, apuração e entrevistas para coberturas jornalísticas, fotojornalismo. Proposição e formulação de pautas e para redação com texto final. Tradução de conteúdos da Internet. Operação dos programas de computação necessários à execução das funções. Competência para editar material jornalístico em mídia impressa e digital, bem como conduzir equipe de redação, com foco na qualidade e periodicidade dos produtos jornalísticos e habilidade e experiência em relações humanas no trabalho. </t>
  </si>
  <si>
    <t>3Q+ (corresponde ao Master) / Empresa Grande Porte /  Rio de Janeiro/RJ / O nivelamento do site só vai até o nível Sênior, adotou-se o teto geral para definir /  https://www.salario.com.br/profissao/editor-cbo-261120/rio-de-janeiro-rj/ Em: 02/01/2022</t>
  </si>
  <si>
    <t xml:space="preserve">   Pleno / Empresa Grande Porte / https://www.salario.com.br/profissao/engenheiro-de-seguranca-do-trabalho-cbo-214915/rio-de-janeiro-rj/ Em: 02/01/2022</t>
  </si>
  <si>
    <t>Sênior / Empresa Grande Porte / Média entre os auxiliares de laboratório farmácia e imunobiológicos, pelas atividades / https://www.salario.com.br/resultados-da-busca/ Rio de Janeiro / Em: 14/01/2022</t>
  </si>
  <si>
    <t xml:space="preserve">  Nível III corresponde ao Sênior / Empresa Grande Porte / https://www.salario.com.br/profissao/tecnico-de-laboratorio-exclusive-analises-clinicas-cbo-311105/rio-de-janeiro-rj/ Em: 02/01/2022</t>
  </si>
  <si>
    <t xml:space="preserve">Realizar exames de diagnóstico ou de tratamento; planejar atendimento; organizar área de trabalho, equipamentos e acessórios; operar equipamentos; preparar paciente para exame de diagnóstico ou de tratamento; atuar na orientação de pacientes.                                                  
- Experiência:  em testes de função pulmonar; com procedimentos de calibração, controle de qualidade e manuseio dos equipamentos;
com preparo e manejo dos pacientes na realização do exame; como técnico de enfermagem espirometria; domínio nos testes de função pulmonar.
</t>
  </si>
  <si>
    <t xml:space="preserve">  Nível I corresponde ao Júnior / Empresa Grande Porte / Não encontrato (corresponde ao técnico em enfermagem pela formação)  / https://www.salario.com.br/profissao/tecnico-de-enfermagem-cbo-322205/rio-de-janeiro-rj/ Em: 02/01/2022</t>
  </si>
  <si>
    <t xml:space="preserve">  Nível I corresponde ao Júnior / Empresa Grande Porte / https://www.salario.com.br/profissao/tecnico-de-enfermagem-cbo-322205/rio-de-janeiro-rj/ Em: 02/01/2022</t>
  </si>
  <si>
    <t xml:space="preserve">  Nível III corresponde ao Sênior / Empresa Grande Porte / https://www.salario.com.br/profissao/tecnico-de-enfermagem-cbo-322205/rio-de-janeiro-rj/ Em: 02/01/2022</t>
  </si>
  <si>
    <t xml:space="preserve">  Nível III corresponde ao Sênior / Empresa Grande Porte / https://www.salario.com.br/profissao/tecnico-em-farmacia-cbo-325115/rio-de-janeiro-rj/ Em: 02/01/2022</t>
  </si>
  <si>
    <t xml:space="preserve">  Sênior / Empresa Grande Porte / https://www.salario.com.br/profissao/fisioterapeuta-geral-cbo-223605/rio-de-janeiro-rj/ Em: 02/01/2022</t>
  </si>
  <si>
    <t xml:space="preserve">  Sênior / Empresa Grande Porte / Nutricionista Saúde Pública pelas atividades /  https://www.salario.com.br/profissao/nutricionista-saude-publica-cbo-223710/rio-de-janeiro-rj/ Em: 02/01/2022</t>
  </si>
  <si>
    <t xml:space="preserve"> Sênior / Empresa Grande Porte /  https://www.salario.com.br/profissao/farmaceutico-cbo-223405/rio-de-janeiro-rj/ Em: 02/01/2022</t>
  </si>
  <si>
    <t>3Q+ (corresponde ao Master) / Rio de Janeiro/RJ /  https://www.salario.com.br/profissao/farmaceutico-cbo-223405/rio-de-janeiro-rj/ Em: 14/01/2022</t>
  </si>
  <si>
    <t xml:space="preserve">  Sênior / Empresa Grande Porte / https://www.salario.com.br/profissao/biologo-cbo-221105/rio-de-janeiro-rj/ Em: 02/01/2022</t>
  </si>
  <si>
    <t xml:space="preserve">  Sênior / Empresa Grande Porte / https://www.salario.com.br/profissao/fonoaudiologo-geral-cbo-223810/rio-de-janeiro-rj/ Em: 02/01/2022</t>
  </si>
  <si>
    <t>Sênior / Empresa Grande Porte / Rio de Janiro/RJ /  https://www.salario.com.br/resultados-da-busca/ Em: 14/01/2022</t>
  </si>
  <si>
    <t>Ensino superior Enfermagem  / Especialização / Registro Entidade de Classe</t>
  </si>
  <si>
    <t>Pleno / Empresa Grande Porte / Rio de Janiro/RJ /  https://www.salario.com.br/profissao/enfermeiro-cbo-223505/rio-de-janeiro-rj/ Em: 02/01/2022</t>
  </si>
  <si>
    <t>Ensino superior Enfermagem  / Pós - Graduação / Registro Entidade de Classe</t>
  </si>
  <si>
    <t xml:space="preserve"> 3Q+ (corresponde ao Master)  / Rio de Janiro/RJ /  https://www.salario.com.br/profissao/enfermeiro-cbo-223505/rio-de-janeiro-rj/ Em: 02/01/2022</t>
  </si>
  <si>
    <t>Ensino superior Medicina, credenciados  CRM, residência nas áreas da medicina / Pós-graduação / Registro Entidade de Classe</t>
  </si>
  <si>
    <t>3Q+ (corresponde ao Master) / Empresa Grande Porte / Rio de Janeiro https://www.salario.com.br/profissao/medico-clinico-cbo-225125/rio-de-janeiro-rj/ Em: 07/12/2032</t>
  </si>
  <si>
    <t xml:space="preserve">Observação: Não informa o números de horas mensais ou semanais que formam os salários. Utilizamos a quantidade de 40 horas semanais para compor os salários, por analogia ao site Cargos.com.br. </t>
  </si>
  <si>
    <t>Pleno / Empresa de Grande Porte / Acesso: 26/06/2021</t>
  </si>
  <si>
    <t>Sênior / Empresa de Grande Porte / Acesso: 26/06/2021</t>
  </si>
  <si>
    <t>Pleno / Empresa de Grande Porte / Acesso: 30/07/2021</t>
  </si>
  <si>
    <t>Júnior / Empresa de Grande Porte / Acesso: 30/07/2021</t>
  </si>
  <si>
    <t>Sênior / Empresa de Grande Porte / Acesso: 30/07/2021</t>
  </si>
  <si>
    <t>Master / Empresa de Grande Porte / Acesso: 30/07/2021</t>
  </si>
  <si>
    <t>Pleno / Empresa de Grande Porte / Corresponde Editor vídeo tape / Acesso: 22/06/2021</t>
  </si>
  <si>
    <t>Pleno / Empresa de Grande Porte / Corresponde Técnico de áudio / Acesso: 30/07/2021</t>
  </si>
  <si>
    <t>Pleno / Empresa de Grande Porte / Acesso: 02/06/2021</t>
  </si>
  <si>
    <t>Pleno / Empresa de Grande Porte / Acesso: 12/04/2021</t>
  </si>
  <si>
    <t>Sênior / Empresa de Grande Porte / Acesso: 12/04/2021</t>
  </si>
  <si>
    <t>Sênior / Empresa de Grande Porte / Acesso: 22/06/2021</t>
  </si>
  <si>
    <t>Master / Empresa de Grande Porte / Acesso: 22/06/2021</t>
  </si>
  <si>
    <t>Teto salarial (corresponde ao Master) / Rio de Janeiro/RJ / https://cargos.com.br/salario/editor/ Em: 02/01/2022</t>
  </si>
  <si>
    <t>Júnior / Empresa de Grande Porte / Corresponde Técnico de Enfermagem pela formação técnica / Acesso: 22/06/2021</t>
  </si>
  <si>
    <t>Júnior / Empresa de Grande Porte / Acesso: 22/06/2021</t>
  </si>
  <si>
    <t>Sênior / Empresa de Grande Porte / Corresponde Técnico farmacêutico mesmas funções / Acesso: 22/06/2021</t>
  </si>
  <si>
    <t>Pleno / Empresa de Grande Porte / Acesso: 22/06/2021</t>
  </si>
  <si>
    <t xml:space="preserve">Observação (Não informa o números de horas mensais ou semanais que formam os salários. Ao verificar o valor da hora trabalhada, do salário mensal e semanal, chegamos a quantidade de 40 horas semanais para compor os salários.  (Não há níveis: Júnior, Pleno, Sênior ou Master) </t>
  </si>
  <si>
    <t>Média (corresponde ao Pleno) / Rio de Janeiro/RJ / https://cargos.com.br/salario/assistente-administrativo/ Em: 02/01/2022</t>
  </si>
  <si>
    <t xml:space="preserve"> 3º Quartil (corresponde ao Sênior) / Rio de Janeiro/RJ / https://cargos.com.br/salario/assistente-administrativo/ Em: 02/01/2022</t>
  </si>
  <si>
    <t xml:space="preserve"> Média (corresponde ao Pleno) / Rio de Janeiro/RJ / https://cargos.com.br/salario/auxiliar-administrativo-de-diretoria/ Em: 02/01/2022</t>
  </si>
  <si>
    <t>1º Quartil (corresponde ao Júnior) / Rio de Janeiro/RJ / https://cargos.com.br/salario/analista-administrativo/ Em: 02/01/2022</t>
  </si>
  <si>
    <t xml:space="preserve"> Média (corresponde ao Pleno) / Rio de Janeiro/RJ / https://cargos.com.br/salario/analista-administrativo/ Em: 02/01/2022</t>
  </si>
  <si>
    <t>3º Quartil (corresponde ao Sênior) / Rio de Janeiro/RJ / https://cargos.com.br/salario/analista-administrativo/ Em: 02/01/2022</t>
  </si>
  <si>
    <t>3Q+ (corresponde ao Master) / Rio de Janeiro/RJ / https://cargos.com.br/salario/analista-administrativo/ Em: 02/01/2022</t>
  </si>
  <si>
    <t>Média (corresponde ao Pleno) / Rio de Janeiro/RJ / https://cargos.com.br/salario/operador-de-video/ Em: 02/01/2022</t>
  </si>
  <si>
    <t>Média (corresponde ao Pleno) / Rio de Janeiro/RJ / Inexistência do cargo genérico correspondente pelas atividades / https://cargos.com.br/salario/operador-de-audio-externo-na-producao-para-televisao-e-produtora-de-video/ Em: 02/01/2022</t>
  </si>
  <si>
    <t>Média (corresponde ao Pleno) / Rio de Janeiro/RJ / https://cargos.com.br/salario/tecnico-eletronico-em-geral/ Em: 02/01/2022</t>
  </si>
  <si>
    <t>Média (corresponde ao Pleno) / Rio de Janeiro/RJ / https://cargos.com.br/salario/tecnico-em-seguranca-do-trabalho/ Em: 02/01/2022</t>
  </si>
  <si>
    <t>Média (corresponde ao Pleno) / Rio de Janeiro/RJ / https://cargos.com.br/salario/bibliotecario/ Em: 02/01/2022</t>
  </si>
  <si>
    <t>3º Quartil (corresponde ao Sênior) / Rio de Janeiro/RJ / https://cargos.com.br/salario/jornalista/ Em: 02/01/2022</t>
  </si>
  <si>
    <t>3º Quartil (corresponde ao Sênior) / Rio de Janeiro/RJ /https://cargos.com.br/salario/orientador-educacional/ Em: 02/01/2022</t>
  </si>
  <si>
    <t>3º Quartil (corresponde ao Sênior) / Rio de Janeiro/RJ /https://cargos.com.br/salario/fotografo/ Em: 02/01/2022</t>
  </si>
  <si>
    <t>3º Quartil (corresponde ao Sênior) / Rio de Janeiro/RJ / https://cargos.com.br/salario/desenhista-industrial-grafico-designer-grafico/ Em: 02/01/2022</t>
  </si>
  <si>
    <t>3Q+ (corresponde ao Master) / Rio de Janeiro/RJ / https://cargos.com.br/salario/desenhista-industrial-grafico-designer-grafico/ Em: 02/01/2022</t>
  </si>
  <si>
    <t>3Q+ (corresponde ao Master) / Rio de Janeiro/RJ / https://cargos.com.br/salario/editor/ Em: 02/01/2022</t>
  </si>
  <si>
    <t>Média (corresponde ao Pleno) / Rio de Janeiro/RJ / https://cargos.com.br/salario/engenheiro-de-seguranca-do-trabalho/ Em: 02/01/2022</t>
  </si>
  <si>
    <t>3º Quartil (corresponde ao Sênior) / Empresa Grande Porte / Rio de Janeiro / https://cargos.com.br/salario/auxiliar-de-laboratorio-de-imunobiologicos/ Em: 02/01/2022</t>
  </si>
  <si>
    <t>3º Quartil (corresponde ao Sênior) / Empresa Grande Porte / Rio de Janeiro / https://cargos.com.br/salario/tecnico-de-laboratorio-exclusive-analises-clinicas/ Em: 02/01/2022</t>
  </si>
  <si>
    <t>1º Quartil (corresponde ao Júnior) / Rio de Janeiro/RJ / Não encontrato (corresponde ao técnico em enfermagem pela formação) https://cargos.com.br/salario/tecnico-de-enfermagem/ Em: 02/01/2022</t>
  </si>
  <si>
    <t>1º Quartil (corresponde ao Júnior) / Rio de Janeiro/RJ / https://cargos.com.br/salario/tecnico-de-enfermagem/ Em: 02/01/2022</t>
  </si>
  <si>
    <t>3º Quartil (corresponde ao Sênior) / Rio de Janeiro/RJ / https://cargos.com.br/salario/tecnico-de-enfermagem/ Em: 02/01/2022</t>
  </si>
  <si>
    <t>3º Quartil (corresponde ao Sênior) / Rio de Janeiro/RJ / https://cargos.com.br/salario/tecnico-em-farmacia/ Em: 02/01/2022</t>
  </si>
  <si>
    <t xml:space="preserve">3º Quartil (corresponde ao Sênior) / Rio de Janeiro/RJ / https://cargos.com.br/salario/fisioterapeuta-geral/ Em: 02/01/2022 </t>
  </si>
  <si>
    <t>3º Quartil (corresponde ao Sênior) / Rio de Janeiro/RJ / Nutricionista Saúde Pública pelas atividades /  https://cargos.com.br/salario/nutricionista-saude-publica/ Em: 02/01/2022</t>
  </si>
  <si>
    <t>3º Quartil (corresponde ao Sênior) / Rio de Janeiro/RJ / https://cargos.com.br/salario/farmaceutico/ Em: 02/01/2022</t>
  </si>
  <si>
    <t>3º Q+ (corresponde ao Sênior) / Rio de Janeiro/RJ / https://cargos.com.br/salario/farmaceutico/ Em: 02/01/2022</t>
  </si>
  <si>
    <t>3º Quartil (corresponde ao Sênior) / Rio de Janeiro/RJ / https://cargos.com.br/salario/biologo/ Em: 02/01/2022</t>
  </si>
  <si>
    <t xml:space="preserve">   3º Quartil (corresponde ao Sênior)  https://cargos.com.br/salario/fonoaudiologo-geral/ Em: 02/01/2022</t>
  </si>
  <si>
    <t>3º Quartil (corresponde ao Sênior) / Rio de Janeiro/RJ / https://cargos.com.br/salario/quimico/ Em: 02/01/2022</t>
  </si>
  <si>
    <t>Média (corresponde ao Pleno) / Rio de Janeiro/RJ / https://cargos.com.br/salario/enfermeiro/ Em: 02/01/2022</t>
  </si>
  <si>
    <t>3Q+ (corresponde ao Master) / Rio de Janeiro/RJ / https://cargos.com.br/salario/enfermeiro/ Em: 02/01/2022</t>
  </si>
  <si>
    <t>Realizar consultas e atendimentos médicos; atender, medicar, diagnosticar e tratar pacientes e clientes; programar  ações  para  promoção da saúde;   coordenar programas e serviços em saúde, efetuar perícias, auditorias e sindicâncias médicas; elaborar documentos e difundir conhecimentos da área médica, atuar em Programas como o de Estratégia de Saúde da Família, dentre outros.</t>
  </si>
  <si>
    <t xml:space="preserve">   Teto salarial (corresponde ao Master) / O médico clínico foi usado como parâmetro para média salarial de médicos em quaisquer das especialidades /  https://cargos.com.br/salario/medico-clinico/rio-de-janeiro-rj/ Em: 02/01/2022 </t>
  </si>
  <si>
    <t>o site glassdoor utiliza intervalo de valores, para esse site será considerado da seguinte forma: júnior - 1 quartil; pleno - média; sênior - 3 quartil e master - 3Q+ ( intervalo para esse cargo - 1000 a 3000)</t>
  </si>
  <si>
    <t>o site glassdoor utiliza intervalo de valores, para esse site será considerado da seguinte forma: júnior - 1 quartil; pleno - média; sênior - 3 quartil e master - 3Q+ ( intervalo para esse cargo - 2000 a 8000)</t>
  </si>
  <si>
    <t>o site glassdoor utiliza intervalo de valores, para esse site será considerado da seguinte forma: júnior - 1 quartil; pleno - média; sênior - 3 quartil e master - 3Q+ ( intervalo para esse cargo - 2000 a 6000)</t>
  </si>
  <si>
    <t>o site glassdoor utiliza intervalo de valores, para esse site será considerado da seguinte forma: júnior - 1 quartil; pleno - média; sênior - 3 quartil e master - 3Q+ ( intervalo para esse cargo - 2000 a 7000)</t>
  </si>
  <si>
    <t>o site glassdoor utiliza intervalo de valores, para esse site será considerado da seguinte forma: júnior - 1 quartil; pleno - média; sênior - 3 quartil e master - 3Q+ ( intervalo para esse cargo - 1000 a 6000)</t>
  </si>
  <si>
    <t>o site glassdoor utiliza intervalo de valores, para esse site será considerado da seguinte forma: júnior - 1 quartil; pleno - média; sênior - 3 quartil e master - 3Q+ ( intervalo para esse cargo - 2000 a 5000)</t>
  </si>
  <si>
    <t>o site glassdoor utiliza intervalo de valores, para esse site será considerado da seguinte forma: júnior - 1 quartil; pleno - média; sênior - 3 quartil e master - 3Q+ ( intervalo para esse cargo - 3000 a 7000)</t>
  </si>
  <si>
    <t>o site glassdoor utiliza intervalo de valores, para esse site será considerado da seguinte forma: júnior - 1 quartil; pleno - média; sênior - 3 quartil e master - 3Q+ ( intervalo para esse cargo - 1000 a 7000)</t>
  </si>
  <si>
    <t>o site glassdoor utiliza intervalo de valores, para esse site será considerado da seguinte forma: júnior - 1 quartil; pleno - média; sênior - 3 quartil e master - 3Q+ ( intervalo para esse cargo - 2000 a 11000)</t>
  </si>
  <si>
    <t>o site glassdoor utiliza intervalo de valores, para esse site será considerado da seguinte forma: júnior - 1 quartil; pleno - média; sênior - 3 quartil e master - 3Q+ ( intervalo para esse cargo - 8000 a 16000)</t>
  </si>
  <si>
    <t>o site glassdoor utiliza intervalo de valores, para esse site será considerado da seguinte forma: júnior - 1 quartil; pleno - média; sênior - 3 quartil e master - 3Q+ ( intervalo para esse cargo - 1000 a 2000)</t>
  </si>
  <si>
    <t>o site glassdoor utiliza intervalo de valores, para esse site será considerado da seguinte forma: júnior - 1 quartil; pleno - média; sênior - 3 quartil e master - 3Q+ ( intervalo para esse cargo - 1000 a 4000)</t>
  </si>
  <si>
    <t>o site glassdoor utiliza intervalo de valores, para esse site será considerado da seguinte forma: júnior - 1 quartil; pleno - média; sênior - 3 quartil e master - 3Q+ (esse cargo somente apresentou a média - 1921, foram feitos cálculos para chegar aos quartis)</t>
  </si>
  <si>
    <t>o site glassdoor utiliza intervalo de valores, para esse site será considerado da seguinte forma: júnior - 1 quartil; pleno - média; sênior - 3 quartil e master - 3Q+ ( intervalo para esse cargo - 1000 a 5000)</t>
  </si>
  <si>
    <t>o site glassdoor utiliza intervalo de valores, para esse site será considerado da seguinte forma: júnior - 1 quartil; pleno - média; sênior - 3 quartil e master - 3Q+ ( intervalo para esse cargo - 3000 a 5000)</t>
  </si>
  <si>
    <t>o site glassdoor utiliza intervalo de valores, para esse site será considerado da seguinte forma: júnior - 1 quartil; pleno - média; sênior - 3 quartil e master - 3Q+ ( intervalo para esse cargo - 3000 a 6000)</t>
  </si>
  <si>
    <t>o site glassdoor utiliza intervalo de valores, para esse site será considerado da seguinte forma: júnior - 1 quartil; pleno - média; sênior - 3 quartil e master - 3Q+ ( intervalo para esse cargo - 2000 a 17000)</t>
  </si>
  <si>
    <t>o site glassdoor utiliza intervalo de valores, para esse site será considerado da seguinte forma: júnior - 1 quartil; pleno - média; sênior - 3 quartil e master - 3Q+ ( intervalo para esse cargo - 5000 a 21000)</t>
  </si>
  <si>
    <t>Documento   SEI</t>
  </si>
  <si>
    <t>o site catho utiliza intervalo de valores, para esse site será considerado da seguinte forma: júnior - 1 quartil; pleno - média; sênior - 3 quartil e master - 3Q+ ( intervalo para esse cargo - 2000 a 3000)</t>
  </si>
  <si>
    <t>o site catho utiliza intervalo de valores, para esse site será considerado da seguinte forma: júnior - 1 quartil; pleno - média; sênior - 3 quartil e master - 3Q+ ( intervalo para esse cargo - 3000 a 4000)</t>
  </si>
  <si>
    <t>o site catho utiliza intervalo de valores, para esse site será considerado da seguinte forma: júnior - 1 quartil; pleno - média; sênior - 3 quartil e master - 3Q+ ( intervalo para esse cargo - 10000 a 15000)</t>
  </si>
  <si>
    <t>o site catho utiliza intervalo de valores, para esse site será considerado da seguinte forma: júnior - 1 quartil; pleno - média; sênior - 3 quartil e master - 3Q+ ( intervalo para esse cargo - 1000 a 2000)</t>
  </si>
  <si>
    <t>o site catho utiliza intervalo de valores, para esse site será considerado da seguinte forma: júnior - 1 quartil; pleno - média; sênior - 3 quartil e master - 3Q+ ( intervalo para esse cargo - 4000 a 5000)</t>
  </si>
  <si>
    <t>Horas do TR</t>
  </si>
  <si>
    <t xml:space="preserve">CARGO </t>
  </si>
  <si>
    <t>Qualificação Profissional / Pós-graduação</t>
  </si>
  <si>
    <t xml:space="preserve">Atividades </t>
  </si>
  <si>
    <t xml:space="preserve">Operador de Mídia Audiovisual </t>
  </si>
  <si>
    <t>Médio</t>
  </si>
  <si>
    <t>Mínimo 1 ano</t>
  </si>
  <si>
    <t>• Promover a operação informatizada de áudio e vídeo do sistema de som ambiente e dos equipamentos de gravação das sessões de reuniões, na sede da ANEEL ou em outros locais em Brasília; • Realizar montagem, teste e desmontagem de equipamentos de áudio e vídeo (câmeras remotas, gravadores, mesas de som, som ambiente e seus periféricos, televisores, projetores, suportes de TV, suportes de projetor e videoconferências); • Efetuar gravação de áudio e/ou vídeos de eventos além de edição linear de áudio e/ou vídeo em ambiente computacional; • Configurar e administrar interface entre computadores e equipamentos de áudio e vídeo em ambiente Microsoft Windows; • Produzir relatórios e planilhas de controle de uso, estado de conservação, necessidade ou não de manutenção das salas e equipamentos disponibilizados pela ANEEL; • Efetuar serviços de operação do áudio dos sistemas de som ambiente da ANEEL, bem como operar os equipamentos de gravação de áudio e vídeo das sessões do plenário, sob a supervisão e fiscalização da ANEEL; • Viabilizar a realização de reuniões por meio de videoconferência; • Viabilizar a transmissão das reuniões e audiências públicas (ao vivo ou gravadas), via Intranet e Internet, com o apoio da equipe de Tecnologia da Informação da ANEEL; • Encaminhar as gravações realizadas ao Centro de Documentação da ANEEL; • Gerenciar a rede a fim de promover o compartilhamento de arquivos e recursos de hardware, além de transmissões de vídeo ao vivo via Intranet/Internet; • Implementar procedimentos operacionais e rotinas especializadas visando à maior eficiência na administração de recursos de áudio e vídeo e informática relacionados às atividades; • Conferir equipamentos e ligações, antes da realização dos eventos; • Efetuar gravação e degravação de vídeos de eventos; • Comunicar, de imediato, qualquer dificuldade, defeito em equipamento ou outro fato que venha a interferir na boa e perfeita execução dos serviços; • Realizar reparos básicos em equipamentos; • Formular diagnósticos para consertos especializados; • Zelar pela guarda, conservação, manutenção e limpeza dos equipamentos, instrumentos e materiais utilizados, bem como do local de trabalho; • Fazer levantamento de equipamentos que necessitem ser trocados ou adquiridos para o perfeito funcionamento dos recursos de áudio e vídeo desta ANEEL, bem como informar à área responsável as especificações destes equipamentos; • Manter-se atualizado em relação às tendências e inovações tecnológicas de sua área de atuação e das necessidades da ANEEL; • Realizar edições simples no material (áudio e/ou vídeo) captado em face da atividade junto à ANEEL; • Operar sistemas digitais ou analógicos de captação e distribuição de sinais de som, gerados pela mesa de áudio; • Executar outras atividades correlatas;</t>
  </si>
  <si>
    <t>Corresponde ao Operador de Mídia Audiovisual / Experiência mínima de 1 ano / Nível Médio  / Atividades similares.</t>
  </si>
  <si>
    <t>Jornalista Produtor</t>
  </si>
  <si>
    <t>Superior</t>
  </si>
  <si>
    <t xml:space="preserve">1.9.1. Redigir e preparar release, notas, matérias e comunicados institucionais; 
1.9.2. Fazer coberturas jornalísticas diárias e/ou especiais, incluindo sessões do CJF e da TNU, 
bem como eventos e comemorações internas, entre outros; 
1.9.3. Gravar entrevistas; 
1.9.4. Redigir e diagramar publicações impressas e digitais; 
1.9.5. Publicar, sob supervisão da assessoria de Imprensa e de Cerimonial, textos e arquivos 
no portal e intranet do CJF, redes sociais, bem como em outros meios; 
1.9.6. Interpretar, produzir e organizar informações e notícias a serem difundidas; 
1.9.7. Atender às demandas da imprensa que sejam delegadas pela assessora-chefe de 
comunicação ou seu substituto; 
1.9.8. Executar tarefas correlatas; 
1.9.9. As atribuições elencadas nos itens anteriores destinam-se a produção de notícias e 
conteúdo para todos os canais de comunicação tais como TV, rádio, internet, intranet, revistas, redes sociais, jornais impressos ou eletrônicos e quaisquer outros meios existentes ou que 
venham ser criados para intermediar a comunicação com o público de uma forma geral. </t>
  </si>
  <si>
    <t>Corresponde ao Jornalista Produtor / Nivel Superior / Atividades Similares</t>
  </si>
  <si>
    <t>Reporter Fotográfico</t>
  </si>
  <si>
    <t xml:space="preserve">1.10.1. Capturar, produzir, editar e registrar os fatos através de imagens fotográficas; 
1.10.2. Interpretar e organizar o registro fotográfico a ser difundido; 
1.10.3. Fazer seleção, edição, formatação e preparo definitivo das fotos a serem divulgadas em 
jornais, revistas, televisão, internet, assessorias de imprensa e quaisquer outros meios de 
comunicação com o público; 
1.10.4. Organizar banco de imagens, inserindo, editando ou retirando imagens, inclusive 
formatando-as para adequação aos parâmetros tecnológicos exigidos; 
1.10.5. Executar tarefas correlatas. </t>
  </si>
  <si>
    <t>Corresponde ao Reporter Fotográfico / Atividades similares.</t>
  </si>
  <si>
    <t>Assistente de Gestão ao Negócio II</t>
  </si>
  <si>
    <t>Realizar atividades relacionadas ao planejamento, finanças, auditorias, comercialização e captação de recursos externos, etc., seguindo o cronograma previamente estabelecido,
emitindo pareceres técnicos e divulgando os resultados em relatórios, documentos em geral, desenvolvendo e elaborando demonstrativos gráficos e trabalhos diversos, aplicando
os procedimentos a serem adotados, contribuindo no desenvolvimento de projetos, programas e trabalhos em sua área de especialização, registrando os resultados alcançados,
compondo relatórios decorrentes das ações implementadas, desenvolvendo atividades relacionadas à movimentação patrimonial, efetuando a classificação de despesas e os
respectivos demonstrativos, contribuindo na composição do balanço quando do encerramento do exercício, acompanhando inventários e outros atos relacionados aos bens
patrimoniais, bem como participar da elaboração de relatórios e demonstrativos gráficos diversos com base em levantamentos e compilação dos dados, contribuindo assim para a
otimização de atividades, processos, sistemas e procedimentos de acordo com as estratégias e políticas adotadas pela Instituição.</t>
  </si>
  <si>
    <t>Corresponde ao Assistente de Gestão ao Negócio II / Atividades similares.</t>
  </si>
  <si>
    <t>Assistente de Gestão ao Negócio III</t>
  </si>
  <si>
    <t>Exercer atividades relativas à administração do fluxo de tarefas relacionadas ao planejamento, finanças, auditorias, comercialização, assessoria direcionadas a negócios nacionais
e internacionais, captação de recursos externos, compras nacionais e internacionais, etc., desenvolvendo e elaborando projetos, programas, sistemas, estudos, análises,
demonstrativos gráficos e trabalhos diversos, orientando e definindo os procedimentos a serem adotados, esclarecendo dúvidas, buscando alternativas para solução dos
problemas detectados, de acordo com o cronograma previamente estabelecido, formulando parecer técnico e divulgando resultados, documentos em geral, etc., compondo
relatórios decorrentes das ações implementadas, desenvolvendo atividades relacionadas à movimentação patrimonial, efetuando a classificação de despesas e os respectivos
demonstrativos, participando da composição do balanço quando do encerramento do exercício, acompanhando inventários e outros atos relacionados aos bens patrimoniais, a
fim de cumprir com as políticas, normas, procedimentos e metas relativas à sua área de atuação, contribuindo assim para a otimização de atividades, processos, sistemas e
procedimentos de acordo com as estratégias e políticas adotadas pela Instituição.</t>
  </si>
  <si>
    <t>Corresponde ao Assistente de Gestão ao Negócio III/ Atividades similares.</t>
  </si>
  <si>
    <t>Assistente de Gestão ao Negócio IV</t>
  </si>
  <si>
    <t>Executar com grande polivalência funcional e iniciativa, atividades relativas à administração do fluxo de tarefas relacionadas ao planejamento, finanças, auditorias,
comercialização, assessoria direcionadas a negócios nacionais e internacionais, captação de recursos externos, compras nacionais e internacionais, etc., desenvolvendo e
elaborando projetos, programas, sistemas, estudos, análises, demonstrativos gráficos e trabalhos diversos, orientando e definindo os procedimentos a serem adotados,
esclarecendo dúvidas, buscando alternativas para solução dos problemas detectados, de acordo com o cronograma previamente estabelecido, formulando parecer técnico e
divulgando resultados, documentos em geral, etc., compondo relatórios decorrentes das ações implementadas, desenvolvendo atividades relacionadas à movimentação
patrimonial, efetuando a classificação de despesas e os respectivos demonstrativos, participando da composição do balanço quando do encerramento do exercício,
acompanhando inventários e outros atos relacionados aos bens patrimoniais, a fim de cumprir com as políticas, normas, procedimentos e metas relativas à sua área de atuação,
contribuindo assim para a otimização de atividades, processos, sistemas e procedimentos de acordo com as estratégias e políticas adotadas pela Instituição.</t>
  </si>
  <si>
    <t>Corresponde ao Assistente de Gestão ao Negócio IV/ Atividades similares.</t>
  </si>
  <si>
    <t>Analista de Gestão Júnior</t>
  </si>
  <si>
    <t>Realizar atividades relacionadas à sua área de atuação, contribuindo para o desenvolvimento de projetos, programas e trabalhos diversos, compondo relatórios decorrentes das
ações implementadas, informando-se e buscando as soluções necessárias, emitindo pareceres técnicos e divulgando os resultados em relatórios e documentos em geral, bem
como aplicar métodos e rotinas de simplificação e racionalização dos trabalhos, a fim de contribuir para a manutenção e/ou otimização das atividades, processos, sistemas e
procedimentos de acordo com as estratégias e políticas adotadas pela Instituição</t>
  </si>
  <si>
    <t>Corresponde ao Analista de Gestão Júnior / Atividades similares.</t>
  </si>
  <si>
    <t>Analista de Gestão Pleno</t>
  </si>
  <si>
    <t>Exercer ações relativas à sua área de atuação, contribuindo no desenvolvimento de projetos, programas e trabalhos diversos em sua área de especialização, analisando os
resultados alcançados, elaborando pareceres técnicos e divulgando os resultados em relatórios e documentos em geral, observando o cumprimento das metas dentro dos prazos
previstos e prioridades definidas, contribuindo assim para a manutenção e/ou otimização das atividades, processos, sistemas e procedimentos de acordo com as estratégias e
políticas adotadas pela Instituição</t>
  </si>
  <si>
    <t>Corresponde ao Analista de Analista de Gestão Pleno / Atividades similares.</t>
  </si>
  <si>
    <t>Analista de Gestão Sênior</t>
  </si>
  <si>
    <t>Orientar e/ou exercer atividades relativas à sua área de atuação, efetuando análises e estudos específicos, participando e/ou desenvolvendo projetos, programas e trabalhos diversos em sua área de especialização, participando da elaboração do Plano Anual, elaborando pareceres técnicos e divulgando os resultados em relatórios e documentos em geral, buscando a correta administração e alocação dos recursos disponíveis, aplicando métodos e rotinas de simplificação e racionalização dos serviços, normas e procedimentos
de atuação de acordo com as estratégias e políticas adotadas, objetivando assegurar o fluxo de trabalhos e o cumprimento dos compromissos assumidos junto a Instituição
dentro de prazos e qualidade previamente definidas</t>
  </si>
  <si>
    <t>Corresponde ao Analista de Analista de Gestão Sênior/ Atividades similares.</t>
  </si>
  <si>
    <t>Analista de Gestão Master</t>
  </si>
  <si>
    <t>Programar a implantação e desenvolvimento dos trabalhos em sua área de atuação, buscando a correta administração e alocação dos recursos humanos, materiais e financeiros disponíveis, orientando quanto à implantação e desenvolvimento das atividades, participando da preparação do Plano Anual de Trabalho, analisando os resultados alcançados e implantando o redirecionamento necessário à continuidade dos mesmos, emitindo pareceres técnicos e divulgando os resultados em relatórios e documentos em geral,
implantando métodos e rotinas de simplificação e racionalização das atividades, normas e procedimentos de atuação, objetivando subsidiar o processo decisório, cumprir cronograma estabelecido e plano de trabalho, conforme procedimentos e metas previamente estabelecidas, de acordo com as estratégias e políticas adotadas pela Instituição</t>
  </si>
  <si>
    <t>Corresponde ao Analista de Analista de Gestão Master / Atividades similares.</t>
  </si>
  <si>
    <t>Oficial de Manutenção Predial II</t>
  </si>
  <si>
    <t xml:space="preserve">Executar diversas atividades relacionadas à manutenção preventiva e corretiva de instalações prediais, sistemas elétricos e equipamentos, instalando, reparando, montando, desmontando e consertando, realizando desentupimento e conservação de conexões de água e esgoto, executando trabalhos de eletricidade, alvenaria, pintura e serralheria, conserto e instalações de divisórias, confecção e/ou reforma de móveis e utensílios e etc., tendo como objetivo a realização dos trabalhos de acordo com as necessidades e
prioridades previamente definidas, contribuindo assim para a redução de problemas que possam vir a afetar o andamento das atividades.
</t>
  </si>
  <si>
    <t>Corresponde ao Oficial de Manutenção Predial II / Nível Médio / Atividades similares</t>
  </si>
  <si>
    <t>Assistente em Meio Ambiente e Segurança IV</t>
  </si>
  <si>
    <t>Executar com grande polivalência funcional, autonomia e iniciativa, atividades relativas as áreas de Segurança do Trabalho e Meio Ambiente, participando de campanhas educativas, cursos de prevenção de acidentes, reuniões, palestras e grupos de trabalho, investigando acidentes, efetuando avaliação e identificando necessidades de acompanhamento especializado, auxiliando no desenvolvimento de procedimentos e planos emergenciais, revisando POP's e manuais, realizando levantamentos dos requisitos legais relacionados ao tema em questão, revendo a política adotada, contribuindo na elaboração de estudos de impactos e planos de controle ambiental, a fim de contribuir para a redução e/ou neutralização de ocorrências ou danos decorrentes das atividades realizadas junto a colaboradores, máquinas, equipamentos, instalações e ao meio ambiente de acordo com as estratégias e políticas adotadas no que tange ao Meio Ambiente e Segurança.</t>
  </si>
  <si>
    <t>Corresponde ao Assistente em Meio Ambiente e Segurança IV / Atividades similares</t>
  </si>
  <si>
    <t>Controlador em Meio Ambiente e Segurança</t>
  </si>
  <si>
    <t>Liderar o desenvolvimento de trabalhos nas áreas de Gestão Ambiental, Engenharia e Segurança do Trabalho, promovendo campanhas educativas e cursos de prevenção de acidentes, destacando os riscos ocupacionais aos quais os trabalhadores ficam expostos, coordenando e/ou participando de reuniões, palestras, grupos de trabalho e comissões especiais, conduzindo investigações relacionadas a acidentes, realizando e/ou conduzindo avaliações periódicas, pesquisas e estudos diversos em seu campo de atuação, orientando e definindo os procedimentos a serem adotados em cada caso social detectado, formatando e implantando procedimentos e planos emergenciais, orientando o desenvolvimento de POP's e manuais, promovendo levantamentos dos requisitos legais relacionados ao tema em questão, avaliando a política adotada, orientando quanto da elaboração de estudos de impactos e planos de controle ambiental, bem como aplicar métodos e rotinas de simplificação e racionalização dos serviços, definindo normas e procedimentos de atuação, respondendo pela disciplina e organização do setor e opinando sobre aspectos que dizem respeito à infraestrutura necessária para a realização dos trabalhos, visando eliminar, neutralizar e/ou reduzirem ocorrências ou danos decorrentes das atividades junto a colaboradores, máquinas, equipamentos, instalações e ao meio ambiente de acordo com as estratégias e políticas adotadas.</t>
  </si>
  <si>
    <t>Corresponde ao Controlador em Meio Ambiente e Segurança / Atividades similares</t>
  </si>
  <si>
    <t>Assistente em Saúde I</t>
  </si>
  <si>
    <t xml:space="preserve">Realizar atividades de natureza administrativa e técnica nas áreas de Saúde Ocupacional e Nutrição, participando de campanhas educativas, reuniões e palestras, auxiliando no
desenvolvimento de procedimentos e planos emergenciais, bem como realizar o atendimento aos colaboradores que buscam a área de Saúde Ocupacional, fazendo a assepsia e
esterilização do material médico, executando serviços gerais de enfermagem, elaborando estatística de atendimento médico e fisioterápico diário e mensal, efetuando serviços de
arquivo, cumprindo os princípios gerais normativos de acordo com as estratégias e políticas adotadas, no que tange a Saúde.
</t>
  </si>
  <si>
    <t>Corresponde ao Assistente em Saúde I / Atividades similares.</t>
  </si>
  <si>
    <t>Analista em Saúde Sênior</t>
  </si>
  <si>
    <t>Orientar e/ou exercer atividades de planejamento, distribuição, desenvolvimento e controle junto a Medicina, Enfermagem, Assistência Social, Nutrição, atividades Fisioterápicas e Psicologia Clínica do Trabalho, desenvolvendo e promovendo campanhas educativas, participando e/ou coordenando reuniões, palestras, grupos de trabalho, comissões especiais, realizando avaliações periódicas, pesquisas e estudos diversos em seu campo de atuação, efetuando avaliação e identificando necessidades de acompanhamento especializado dos indivíduos, mediando conflitos diversos, desenvolvendo ações preventivas que procurem reduzir disfunções decorrentes da postura inadequada e desfavorável do indivíduo, desenvolvendo trabalhos de orientação e definindo os procedimentos a serem adotados em cada caso social detectado, efetuando levantamentos dos requisitos legais relacionados ao tema em questão, revendo a política adotada, realizando avaliações periódicas e consultas ambulatoriais, prescrevendo medicamentos e outros recursos terapêuticos, fisioterápicos e dietéticos, aplica curativos, observando a evolução dos tratamentos, preparado cardápio, avaliando a qualidade e armazenagem dos gêneros alimentícios, etc.</t>
  </si>
  <si>
    <t>Corresponde ao Analista em Saúde Sênior / Atividades similares</t>
  </si>
  <si>
    <t>Analista em Saúde Pleno</t>
  </si>
  <si>
    <t>Exercer atividades de distribuição, desenvolvimento e controle junto a Medicina, Enfermagem, Assistência Social, Nutrição, atividades Fisioterápicas e Psicologia Clínica do Trabalho, promovendo campanhas educativas, participando de reuniões, palestras, grupos de trabalho, comissões especiais, realizando avaliações periódicas, pesquisas e estudos diversos em seu campo de atuação, efetuando avaliação e identificando necessidades de acompanhamento especializado dos indivíduos, mediando conflitos diversos, desenvolvendo ações preventivas que procurem reduzir disfunções decorrentes da postura inadequada e desfavorável do indivíduo, desenvolvendo trabalhos e aplicando procedimentos a serem adotados em cada caso social detectado, efetuando levantamentos dos requisitos legais relacionados ao tema em questão, revendo a política adotada, realizando avaliações periódicas e consultas ambulatoriais, prescrevendo medicamentos e outros recursos terapêuticos, fisioterápicos e dietéticos, aplica curativos, observando a evolução dos tratamentos, preparado cardápio, avaliando a qualidade e armazenagem dos gêneros alimentícios, etc.</t>
  </si>
  <si>
    <t>Corresponde ao Analista em Saúde Pleno / Atividades similares</t>
  </si>
  <si>
    <t>Técnico de Laboratório II</t>
  </si>
  <si>
    <t>Registro no conselho de classe profissional</t>
  </si>
  <si>
    <t>acima de 04 anos</t>
  </si>
  <si>
    <t>Pleno / Sênior</t>
  </si>
  <si>
    <t>Separar, identificar e registrar amostras biológicas; - Realizar exames de rotina usando técnicas e equipamentos específicos; - Digitar os resultados no sistema Servlab; - Realizar monitoramento da temperatura;
- Realizar manutenções periódicas dos equipamentos (manutenções do usuário); - Realizar controles internos e externos; - Auxiliar no controle de estoque de kits e reagentes; - Realizar levantamento estatístico mensal dos exames realizados; - Elaborar e revisar POP’s; - Realizar treinamentos internos; - Realizar plantio primário de espécimes clínicos</t>
  </si>
  <si>
    <t>Corresponde ao Técnico de Laboratório II / Pleno e Sênior / Experiência de acima de 04 anos / Nível médio.</t>
  </si>
  <si>
    <t>Técnico de Enfermagem</t>
  </si>
  <si>
    <t>Médio Técnico</t>
  </si>
  <si>
    <t>1 ano</t>
  </si>
  <si>
    <t>Junior</t>
  </si>
  <si>
    <t>Prestar assistência de enfermagem em ambulatório, internação, CTI e Hospital-Dia, em pacientes de pequena, média e grande complexidade acometidos por doença infecciosa; - Participar dos treinamentos e reuniões demandados pela chefia; - Colaborar nos projetos de ensino e pesquisa da Instituição; Colaborar na educação permanente e continuada da enfermagem; atualizar fichas de pacientes internados e abrir fcihas de pacientes novos. Verificar as medicações suspensas, medicações introduzidas ou modificadas de cada paciente internado e anotar na ficah de vigilância; ler com atenção evoluções de enfermagem e obter dados sobre invasões como veias periférias, eventual ventilação  mecânica e outros, registrando-os em prontuário; verificar os livros de coleta de exames, como HRC (urinocultura), HNC (hemocultura), escarro, líquor e resgitrá-los em prontuários; atualizar planilhas e banco de dados.</t>
  </si>
  <si>
    <t>Corresponde ao Técnico de Enfermagem / Junior / Experiência de 01 ano / Nível médio.</t>
  </si>
  <si>
    <t>Fisioterapeuta</t>
  </si>
  <si>
    <t>Mínimo de 01 ano na área de terapia intensiva adulto</t>
  </si>
  <si>
    <t>- Avaliar o estado funcional dos pacientes internados na Enfermaria e no Centro de Terapia Intensiva (CTI); - Elaborar o fisiodiagnóstico e planejar, organizar, supervisionar, prescrever e avaliar os planos de tratamento desenvolvidos nestes pacientes; - Realizar Fisioterapia Respiratória; - Realizar Fisioterapia Motora, incluindo a reabilitação neurológica; - Realizar monitorização ventilatória dos pacientes em ventilação mecânica; - Realizar cuidados com via aérea artificial; - Participar dos processos de desmame e extubação do paciente em ventilação mecânica invasiva.</t>
  </si>
  <si>
    <t>Corresponde ao Fisioterapeuta / Junior / Experiência mínima de 01 ano na área de terapia intensiva adulto / Nível superior.</t>
  </si>
  <si>
    <t>Nutricionista</t>
  </si>
  <si>
    <t>01 ano em nutrição clínica</t>
  </si>
  <si>
    <t>- Definir planejar, organizar, supervisionar e avaliar as atividades de assistência nutricional aos clientes/pacientes, segundo níveis de atendimento em Nutrição; - Elaborar o diagnóstico nutricional com base nos dados clínicos, bioquímicos, antropométricos e dietéticos; - Elaborar a prescrição dietética, com base nas diretrizes do diagnóstico nutricional; - Registrar em prontuário do cliente/paciente a prescrição dietética e a evolução nutricional, de acordo com protocolos pré-estabelecidos - Determinar e dar a alta nutricional; - Promover educação alimentar e nutricional para clientes/ pacientes e familiares; - Orientar e supervisionar a distribuição e administração de dietas; - Integrar EMTN (Equipe Multiprofissional de Terapia Nutricional); - Solicitar exames laboratoriais necessários à avaliação nutricional, a prescrição dietética e à evolução nutricional do cliente/paciente; - Prescrever suplementos nutricionais, bem como alimentos para fins especiais em conformidade com a legislação vigente quando necessários à complementação da dieta; - Participar de pesquisas relacionados a sua área de atuação no INI, promovendo o intercâmbio técnico científico.</t>
  </si>
  <si>
    <t>Corresponde ao nutricionista / Junior / Experiência mínima de 01 ano na área de nutrição clínica / Nível superior.</t>
  </si>
  <si>
    <t>Assistente Administrativo Pleno 2</t>
  </si>
  <si>
    <t>411005 411013</t>
  </si>
  <si>
    <t>04</t>
  </si>
  <si>
    <t>Pleno 2</t>
  </si>
  <si>
    <t>Executar tarefas específicas e rotinas administrativas nos diversos departamentos e assessorias da Unidade; Elaborar Minutas de documentos; Desenvolver atividades supervisionadas de controle e manutenção de sistemas de informações da administração pública federal e sistemas institucionais; Assessorar as chefias no desenvolvimento dos processos administrativos da Unidade; Outras tarefas correlatas.</t>
  </si>
  <si>
    <t>Corresponde ao Assistente Administrativo Pleno 2  / Experiência 04 anos / Nível médio / Atividades similares</t>
  </si>
  <si>
    <t>Assistente Administrativo Senior 1</t>
  </si>
  <si>
    <t>411005 411014</t>
  </si>
  <si>
    <t>06</t>
  </si>
  <si>
    <t>Sênior 1</t>
  </si>
  <si>
    <t>Prestar atividades de apoio operacional de média complexidade nas áreas de administrativas e operacionais; Organizar informações administrativas; Desenvolver atividades supervisionadas de controle e manutenção de sistemas de informações da administração pública federal e sistemas institucionais; Assessorar na análise de estruturas de gestão; Elaborar planilhas, tabelas, quadros demonstrativos, gráficos, apresentações, relatórios, memorandos, atas de reunião e outros documentos; Acompanhamento de processos administrativos; Outras tarefas correlatas</t>
  </si>
  <si>
    <t>Corresponde ao Assistente Administrativo Sênior 1  / Experiência 06 anos / Nível médio / Atividades similares</t>
  </si>
  <si>
    <t>Assistente Administrativo Senior 2</t>
  </si>
  <si>
    <t>411005 411015</t>
  </si>
  <si>
    <t>08</t>
  </si>
  <si>
    <t>Sênior 2</t>
  </si>
  <si>
    <t>Corresponde ao Assistente Administrativo Sênior 2 / Experiências 08 anos / Nível médio /Apesar da exigência de 08 anos de experiência, parametrizamos as atividades, que no caso da ENSP são mais complexas do que esse posto na COGIC</t>
  </si>
  <si>
    <t>Analista Administrativo Pleno 1</t>
  </si>
  <si>
    <t xml:space="preserve">Superior completo </t>
  </si>
  <si>
    <t>Pleno 1</t>
  </si>
  <si>
    <t>Prestar atividades de apoio técnico operacional nas áreas administrativas e operacionais; Organizar informações administrativas; Apoio aos programas estratégicos institucionais; Desenvolver atividades supervisionadas de controle e manutenção de sistemas de informações da administração pública federal e sistemas institucionais; Assessorar na análise de estruturas de gestão; Elaborar planilhas, tabelas, quadros demonstrativos, gráficos, apresentações, relatórios, memorandos, atas de reunião e outros documentos; Acompanhamento de processos administrativos; Realizar atividades de suporte para o desenvolvimento institucional nas áreas de gestão de compras, contratos, planejamento e programação, orçamento e finanças, gestão de RH, da informação e operacionais da Unidade; Desenvolvimento de estudos de custos corporativos; Outras tarefas correlatas.</t>
  </si>
  <si>
    <t>Corresponde ao Analista Administrativo Pleno 1  / Experiência 04 anos / Nível superior / Atividades similares</t>
  </si>
  <si>
    <t>Analista Administrativo Pleno 2</t>
  </si>
  <si>
    <t>Especialização</t>
  </si>
  <si>
    <t>Prestar atividades de assessoria nas áreas administrativas e operacionais; Organizar informações administrativas; Apoio aos programas estratégicos institucionais; Desenvolver atividades supervisionadas de controle e manutenção de sistemas de informações da administração pública federal e sistemas institucionais; Assessorar na análise de estruturas de gestão; Promover a realização de estudos, manuais, procedimentos para o desenvolvimento das atividades institucionais; Elaborar planilhas, tabelas, quadros demonstrativos, gráficos, apresentações, relatórios, memorandos, pareceres técnico-administrativos, atas de reunião e outros documentos; Acompanhamento de processos administrativos; Realizar monitoramento, avaliação e controle operacional estratégico; Realizar atividades de suporte para o desenvolvimento institucional nas áreas de gestão de compras, contratos, planejamento e programação, orçamento e finanças, gestão de RH, da informação e operacionais da Unidade; Desenvolvimento de estudos de custos corporativos; Outras tarefas correlatas</t>
  </si>
  <si>
    <t>Corresponde ao Analista Administrativo Pleno 2  / Experiência 06 anos / Nível superior / Atividades similares</t>
  </si>
  <si>
    <t>Analista Administrativo Senior 1</t>
  </si>
  <si>
    <t>Corresponde ao Analista Adminsitrativo Sênior 1 / Experiência 08 anos / Nível Superior / Atividades similares / Ainda que exija apenas especialização na qualificação profissional</t>
  </si>
  <si>
    <t>Assistente Técnico de Gestão II</t>
  </si>
  <si>
    <t>4110 3516</t>
  </si>
  <si>
    <t>Nível Médio</t>
  </si>
  <si>
    <t>Formação Técnica Profissional na Área de Administração e ou cursos correlatos.</t>
  </si>
  <si>
    <t>Desejável 02 a 04 anos</t>
  </si>
  <si>
    <t>Executar serviços de apoio em todas áreas administrativa e gestão do Instituto;  Atender fornecedores e clientes interno e externos;  Receber e fornecer informações sobre legislações e serviços;  Tratar de documentos variados;  Elaborar relatórios e planilhas de controle, cumprindo todo o procedimento necessário referente aos mesmos;  Cuidar da expedição de documentos em geral, controle de publicações e supervisão da expedição da massa processual cumprindo todos os procedimentos padrão e legislações à sua área de atuação;  Elaborar e alimentar relatórios e planilhas;  Revisar documentos entre outras atividades, inclusive arquivar documentos e digitalizar;  Participar da adoção de tecnologias e processos de trabalho;  Investigar, analisar acidentes de trabalho e recomendar medidas de prevenção e controle internamente;  Fazer o controle de materiais, de resíduos e insumos.</t>
  </si>
  <si>
    <t>Corresponde ao Assistente Técnico de Gestão II / Experiências 02 a 04 anos / Nível médio, do PE 21/2020.</t>
  </si>
  <si>
    <t>Analista de Desenvolvimento e Gestão I</t>
  </si>
  <si>
    <t>2521       3515</t>
  </si>
  <si>
    <t>Desejável 05 anos</t>
  </si>
  <si>
    <t>Apoio especializado às atividades de planejamento, organização, controle e assessoria à área administrativa e gestão, bem como à implementação de programas e projetos nessa área; • Elaboração de planejamento organizacional; • Operação, alimentação e atualização das informações nos sistemas da unidade/órgão e governamentais; • Prestar assistência aos gestores pela tomada de decisão da unidade/área de atuação; • Promoção de estudos de racionalização e apoio ao controle do desempenho organizacional; • Elaborar relatórios, organizar a rotina diária e mensal e fazer agendas de trabalho. • Participar da adoção de tecnologias e processos de trabalho; • Investigar, analisar acidentes de trabalho e recomendar medidas de prevenção e controle internamente; • Fazer o controle de materiais, de resíduos e insumos.</t>
  </si>
  <si>
    <t>Corresponde ao Analista de Desenvolvimento e Gestão I / Pleno / Experiência desejável de 05 anos / Nível superior /apesar da exigência de até 04 anos de experiência, parametrizamos as atividades, que no caso da ENSP são equivalentes ao posto no INCQS.</t>
  </si>
  <si>
    <t>Analista de Desenvolvimento e Gestão III</t>
  </si>
  <si>
    <t>2521        2522   2523  3515</t>
  </si>
  <si>
    <t>Desejável 03 a 05</t>
  </si>
  <si>
    <t>Apoio especializado às atividades de planejamento, organização, controle e assessoria à área administrativa e gestão, bem como à implementação de programas e projetos nessa área; • Elaboração de planejamento organizacional; • Operação, alimentação e atualização das informações nos sistemas da unidade/órgão e governamentais; • Prestar assistência aos gestores pela tomada de decisão da unidade/área de atuação; • Promoção de estudos de racionalização e apoio ao controle do desempenho organizacional; • Elaborar relatórios, organizar a rotina diária e mensal e fazer agendas de trabalho; • Participar da adoção de tecnologias e processos de trabalho; • Investigar, analisar acidentes de trabalho e recomendar medidas de prevenção e controle internamente; • Fazer o controle de materiais, de resíduos e insumos.</t>
  </si>
  <si>
    <t>Corresponde ao Analista de Desenvolvimento e Gestão III / Pleno / Experiência desejável de 03 a 05 anos / Nível superior.</t>
  </si>
  <si>
    <t>Analista de Desenvolvimento e Gestão V</t>
  </si>
  <si>
    <t>2521  2522  2523  2524  3515  7661</t>
  </si>
  <si>
    <t>Desejável 05 a 08</t>
  </si>
  <si>
    <t>Apoio técnico especializado às atividades de planejamento, organização, tecnológica, controle e assessoria à área administrativa e gestão, bem como à implementação de programas e projetos nessa área; • Analisar os sistemas de controles e métodos administrativos em geral; • Apoiar na elaboração de planejamento organizacional; • Conduzir operação, alimentação e atualização das informações nos sistemas da unidade/órgão e governamentais; • Prestar assistência aos gestores pela tomada de decisão da unidade/área de atuação; • Promover estudos de racionalização e apoio ao controle do desempenho organizacional; • Elaborar relatórios, organizar a rotina diária e mensal e fazer agendas de trabalho; subsidiar as atividades de de disseminação da informação para apoio ao desenvolvimento de estudos e pesquisas na tomada de decisões institucionais, bem como da difusão cultural, ações educativas e do repertório científco.</t>
  </si>
  <si>
    <t>Corresponde ao Analista de Desenvolvimento e Gestão V / Sênior / Experiência desejável de 05 a 08 anos / Nível superior.</t>
  </si>
  <si>
    <t>Analista Especializado de Desenvolvimento e Gestão I</t>
  </si>
  <si>
    <t>2521  2522  2523  3515  2611</t>
  </si>
  <si>
    <t>Pós Graduação</t>
  </si>
  <si>
    <t>Desejável 08 a 10 anos</t>
  </si>
  <si>
    <t>Apoio técnico especializado às atividades de planejamento, organização, tecnológica, controle e assessoria à área administrativa e gestão, bem como à implementação de programas e projetos nessa área; • Analisar os sistemas de controles e métodos administrativos em geral; • Apoiar na elaboração de planejamento organizacional; • Conduzir operação, alimentação e atualização das informações nos sistemas da unidade/órgão e governamentais; • Prestar assistência aos gestores pela tomada de decisão da unidade/área de atuação; • Promover estudos de racionalização e apoio ao controle do desempenho organizacional; • Elaborar relatórios, organizar a rotina diária e mensal e fazer agendas de trabalho; • Subsidiar as atividades de disseminação da informação para apoio ao desenvolvimento de estudos e pesquisas na tomada de decisões institucionais, bem como da difusão cultural, ações educativas, e do repertório científico; • Elaborar e desenvolver conhecimentos específicos e técnicos-profissionais e disseminá-los.</t>
  </si>
  <si>
    <t>Corresponde ao Analista Especializado de Desenvolvimento e Gestão I / Master / Experiência desejável de 08 a 10 anos / Nível superior.</t>
  </si>
  <si>
    <t>Suporte em Gestão e Desenvolvimento Técnico III</t>
  </si>
  <si>
    <t>04 anos</t>
  </si>
  <si>
    <t>Apoio nas áreas de recursos humanos, administração, ensino, finanças e logística; 
atendimento a fornecedores e clientes, fornecendo e recebendo informações sobre produtos 
e serviços; tratamento de documentos variados, cumprindo todo o procedimento necessário 
referente aos mesmos e apoio na preparação de relatórios e planilhas.</t>
  </si>
  <si>
    <t>Corresponde ao Suporte em Gestão e Desenvolvimento Técnico III / Pleno / Nível médio.</t>
  </si>
  <si>
    <t>Suporte em Gestão e Desenvolvimento Técnico I</t>
  </si>
  <si>
    <t>Desempenhar atividades de apoio técnico-operacional, na área administrativa, tecnológica e científica; realizar atividades de suporte de alta complexidade para o desenvolvimento institucional nas áreas de gestão de compras, contratos, materiais, planejamento e programação, orçamento e finanças, gestão de RH, da informação, ensino e gestão de projetos; acompanhar a execução físico-financeira; apoiar o planejamento, realização e controle de diversas atividades acadêmicas junto aos coordenadores e docentes de pós_x0002_graduação e apoio acadêmico aos discentes</t>
  </si>
  <si>
    <t>Corresponde ao Suporte em Gestão e Desenvolvimento Técnico I / Nível superior.</t>
  </si>
  <si>
    <t>\</t>
  </si>
  <si>
    <t>Assistente Administrativo I</t>
  </si>
  <si>
    <t>Agendar consultas, procedimentos e realizar registros em sistemas informatizados; Acolher e encaminhar pacientes; Efetuar abertura de pronto atendimento e matrícula; Atender e efetuar ligações telefônicas; Enviar e responder e-mails institucionais; Agendar, buscar, organizar e retornar prontuários; Relacionar, protocolar e enviar resultados de exames; Auxiliar no transporte de amostras efetuar e arquivar registros realizados; Abrir requisição de bens, serviços e pedidos de materiais; preencher formulários; Elaborar planilhas; Recolher laudo de pacientes; Verificar funcionamento dos equipamentos; Receber e despachar documentos institucionais; Catalogar e arquivar pastas.</t>
  </si>
  <si>
    <t>Corresponde ao Assistente Administrativo I /  Nível médio.</t>
  </si>
  <si>
    <t>Assistente Administrativo II</t>
  </si>
  <si>
    <t>Executar atividades de natureza 
administrativas de média complexidade, tais como, elaboração de 
documentos, controle de entrada e saída de documentos, 
conferência, atualização e arquivamento de documentos; coordenar 
sistema de controle de materiais e desenvolver atividades 
relacionadas à movimentação patrimonial, efetuando a classificação 
de despesas e os respectivos demonstrativos, acompanhando 
inventários e outros atos relacionados aos bens patrimoniais, 
participando e/ou desenvolvendo trabalhos de apoio, relativos ao 
acompanhamento, controle, recebimento e revisão de documentos, 
implantando, operacionalizando e aperfeiçoando processos 
internos; organizar a documentação médica; abertura e atualização 
cadastral em sistemas internos institucionais e nacionais (cadsus); 
organizar processos relativos à organização, conservação e 
controle dos prontuários dos pacientes; disponibilizar prontuários 
médicos para atendimento e pesquisa (desarquivamento e 
arquivamento); receber, organizar e codificar dados de produção 
assistencial; prover bancos de dados e sistemas de informação; 
consolidar e disponibilizar dados de produção assistencial para fins 
de gestão e faturamento ambulatorial; Solicitar ao almoxarifado 
materiais para a execução das atividades inerentes ao Serviço; 
Conferir se os produtos são os mesmos do pedido e nota fiscal; 
Separar, organizar e armazenar os produtos no local correto, de 
acordo com suas especificações; Etiquetar produtos com a data de 
entrega e data de validade; Informar o responsável quando 
determinado produto estiver acabando; Elaborar relatórios sobre a 
rotatividade de produtos no estoque; Elaborar inventários 
periodicamente sobre os produtos armazenados; Manter a limpeza 
e organização do estoque; Dar baixa em sistema sobre entrada e saída de produtos; Executar atividades relacionadas ao estoque de 
dietas infantis; organizar a documentação médica; abertura e 
atualização cadastral em sistemas internos institucionais e 
nacionais (cadsus); organizar processos relativos à organização, 
conservação e controle dos prontuários dos pacientes; disponibilizar
prontuários médicos para atendimento e pesquisa 
(desarquivamento e arquivamento); Exercer ações supervisionadas 
relativas às atividades de: elaboração de pesquisa de mercado, 
elaboração de editais, compras nacionais e internacionais, 
observando formalidades legais, analisando normas jurídicas, 
interpretando a legislação vigente, desenvolvendo e acompanhando 
atividades de recebimento, exame e julgamento dos documentos e 
dos procedimentos relacionados à concretização do processo de 
licitação, preservando, assim, o interesse da Instituição em 
conformidade com as estratégias adotadas e missão institucional; 
Planejamento, elaboração e regramento das agendas de consultas 
e procedimentos ofertados aos sistemas regulatórios junto à gestão; 
Solicitação de inclusão de novos procedimentos ofertados aos 
sistemas regulatórios(SISREG e SER); Solicitação da ativação das 
agendas ofertadas e bloqueio das agendas, com antecedência, nos 
casos previstos pela gestão; Contato prévio com usuários 
agendados para a confirmação da adequação aos critérios da oferta 
e orientação das situações inadequadas ao perfil; Acolhimento e 
registro dos atendimentos realizados, consultas de retorno, faltas e 
encaminhamentos fora dos critérios nas plataformas dos sistemas 
regulatórios; Contato, quando necessário, junto aos reguladores dos 
municípios do estado do RJ; Recebimento e envio de e-mail 
pertinentes à regulação ambulatorial Elaboração de relatórios para 
subsidiar a gestão no processo de construção de indicadores do 
processo regulatório na instituição;</t>
  </si>
  <si>
    <t>Corresponde ao Assistente Administrativo II /  Nível médio / Atividades Similares.</t>
  </si>
  <si>
    <t>Analista de Gestão Financeira, Negócios e Projetos / Gerente de Serviços de Saúde</t>
  </si>
  <si>
    <t>Exercer atividades de alta complexidade; Desenvolver ferramentas de gestão visando a melhoria continua; gerar e apresentar informes e indicadores, para diferentes níveis hierárquicos relacionados a gestão administrativa e de projeto; Construir junto ao gestor o planejamento e a programação de metas físicas da unidade; Atuar junto ao gestor na elaboração do Plano Quadrienal (PQ), Elaboração de trabalhos técnicos ligados a Políticas Públicas de Saúde, Planejamento e Gestão, desenvolvimento de estudos estratégicos e na elaboração de Relatórios de Gestão e construção de Relatórios Gerenciais; fazer projeções e análises a partir de bases de dados do Instituto Fernandes Figueira; Fundamentar os procedimentos de criação e preenchimento das planilhas e formulários do plano estratégico; Contribuir com a coordenação nas etapas do processo de trabalho; contribuir com ferramentas para definição de escala de trabalho; acompanhar a equipe na execução de atividades; apoiar na análise e/ou elaboração de documentos necessários ao processo licitatório, verificando sua adequação as normas internas e legislação em vigor; Assessorar na elaboração de pareceres técnicos e divulgando os resultados em relatórios e documentos em geral, buscando a correta administração e alocação dos recursos disponíveis, aplicando métodos e rotinas de simplificação e racionalização dos serviços, normas e procedimentos de atuação de acordo com as estratégias e políticas adotadas; Supervisionar e controlar recebimento, uso e cobranças dos produtos para saúde (PPS); Dar apoio administrativo para manutenção de equipamentos; Apoiar atividades de pesquisa e assistência indireta, participando da definição de escopo, estrutura da divisão de trabalho, análise de caminho crítico, ganho e/ou a gestão de valor e de competências gerais do setor juntos aos setores usuários, e de estratégias de atuação e a correta aplicação das técnicas de gestão, acompanhando sua execução, resultados alcançados a partir dos relatórios relacionados as atividades em andamento, efetuando o levantamento e acompanhamento dos custos e despesas relacionadas às atividades em desenvolvimento, visando atingir os objetivos propostos dentro de parâmetros de qualidade previamente determinados; Acompanhar a realização dos testes com produtos, insumos e equipamentos; assessorar na formulação de diretrizes, efetuando estudos sobre normas e procedimentos; Homogeneizar a aplicação dos conceitos e das estratégias no plano estratégico do IFF; Estabelecer os procedimentos para preenchimento de planilhas e formulários, preparar materiais didáticos, tabelas de consultas, modelos de relatórios e instrumentos de monitoramento; Coordenar o preenchimento interativo de planilhas e formulários; Apoiar a validação e qualificação de ciclos de esterilização; Contribuir com o planejamento e execução do treinamento da equipe; Apoiar a avaliação da equipe; Participar de reuniões administrativas e gerenciais; Participar do desenvolvimento de pesquisas na área de atuação; Atender às unidades consumidoras; Contribuir com parecer técnico relativo à aquisição de PPS, de equipamentos e insumos a serem utilizados na área de atuação; Apoiar as visitas técnicas de qualificação da operação e do desempenho de equipamentos relativos ao setor.</t>
  </si>
  <si>
    <t>Corresponde ao Analista de Gestão Financeira, Negócios e Projetos / Gerente de Serviços de Saúde /  Nível superior.</t>
  </si>
  <si>
    <t>Analista de Gestão e Atenção à Saúde III - Analista Administrativo III</t>
  </si>
  <si>
    <t>Prestar atividades de assessoramento e execução de atividades de alta complexidade as Áreas das Coordenação de Gestão, Educação, Pesquisa, Direção e Coordenação de Atenção à Saúde; Assessorar na formulação de diretrizes, efetuando estudos sobre normas e procedimentos, elaborar e acompanhar projetos; Analisar processos verificando sua adequação as normas internas e a legislação vigente; Assessorar a unidade no planejamento anual do Plano de Capacitação referente ao Programa de Desenvolvimento de Pessoas; Analisar documentos, processos, demonstrativos, planilhas e outros; desenvolver ferramentas de gestão visando a melhoria contínua do serviço; Elaborar, analisar e atualizar relatórios, planilhas e cronogramas; Analisar e executar atividades de avaliação de desempenho individual e institucional, afastamentos; Orientar os 35 Processo nº 25384.000859/2020-34 – Pregão Eletrôniconº 25/2021-IFF servidores sobre as legislações vigentes, seus deveres e direitos; Representar a Gestão quando for necessário; Receber, analisar e executar novas demandas no que se refere as atividades das Áreas de Coordenação de Gestão e Coordenação de Atenção à Saúde; Realizar atividades de análise e/ou elaboração de editais de licitação, observando formalidades legais, cláusulas especiais, obrigações e garantias legais em conformidade com as normas jurídicas; Realizar atividades de apoio à análise e/ ou elaboração de contratos, cartas-contratos, termos aditivos, prorrogações, etc., observando as formalidades legais, cláusulas especiais, obrigações e garantias legais e prazos de vigência contratual; Implementar e acompanhar os projetos que promovam a Saúde do Trabalhador; Fazer busca ativa sobre as necessidades dos trabalhadores do IFF em relação a palestras educativas sobre a saúde do trabalhador; Dar suporte a médica do trabalho nas atividades administrativas; Articular e assessorar a incorporação da temática Saúde do Trabalhador no âmbito do IFF; Elaborar e/ou atualizar relatórios de afastamento, tabelas, quadros demonstrativos, gráficos, apresentações; Propor ações que possam mitigar diminuir e/ou melhorar a Saúde do Trabalhador; Exercer atividades de assessoramento junto a Gestão de Pessoas/IFF no que se refere a Saúde do Trabalhador; Receber e orientar o trabalhador/servidor no que se refere aos processos de licença médica/atestados médicos e laudos periciais emitidos pela Perícia Singular ou Junta Médica (FIOCRUZ, Ministério da Saúde e INSS (Servidor Anistiado); Analisar os afastamentos/licenças médicas, acolher e orientar o trabalhador/servidor próximos a aposentadoria por invalidez pela Junta Médica Oficial do Ministério da Saúde/JMO/NERJ Central; Atender o trabalhador e acompanhar os processos e procedimentos administrativos; Entrar em contato com o trabalhador afastado para saber do prognóstico do afastamento e informar todos os procedimentos da Perícia Médica; Coordenação de conteúdo das áreas de Saúde da Mulher e de Saúde da Criança para o Portal de Boas Práticas; Elaboração de materiais para o Portal de Boas Práticas; Organização de oficinas de planejamento do conteúdo com especialistas; Coordenação das atividades de apoio necessárias à manutenção do Portal de Boas Práticas; Organização de temas a serem trabalhados no Portal de Boas Práticas; Coordenação e seleção de especialistas para atuação no Portal de Boas Práticas; Revisão técnica de todo conteúdo disponibilizado. Desenvolver de forma supervisionada, trabalhos e ações relativas às atividades relacionadas à análise e/ou elaboração de editais de licitação, pesquisa de mercado, observando formalidades legais, cláusulas especiais, obrigações, analisando normas jurídicas, interpretando a legislação vigente, prestando assistência preventiva sobre dispositivos legais, atendendo a consultas, desenvolvendo e acompanhando atividades de recebimento, exame e julgamento dos documentos e dos procedimentos relacionados à concretização do processo de licitação, desenvolvendo, publicando e divulgando editais de licitação e seus anexos, prestando esclarecimentos aos requisitantes, analisando pareceres jurídicos e recursos administrativos, visando evitar litígios e/ou conflitos, preservando, assim, o interesse da Instituição em conformidade com as estratégias adotadas e missão institucional. Gerenciamento da Execução Orçamentária e Financeira, Recebimento e Distribuição de Processos, Liquidação e Pagamento de Diversas Despesas a Fornecedores, Emissão de Diárias e Passagens, Concessão de 36 Processo nº 25384.000859/2020-34 – Pregão Eletrôniconº 25/2021-IFF Suprimentos de Fundos, Emissão de Nota de Empenho, Análise Tributária, Retenção de Impostos e Previdência Social, Emissão de Guia de Recolhimento da Conta Vinculada, Análise de Saldos Alongados e Transitórios em Conta, Pagamento de Diárias e Passagens, Prestação de Contas de Viagens, Emissão de Certidões, Verificação de Nota Fiscal Eletrônica em relação a sua Autenticidade, atendimento a Fornecedores, Acompanhamento da Utilização do Cartão Corporativo pelo Suprido, Análise e ajuste Mensal do Balancete de Verificação, Gerenciamento de Recursos Financeiros Oriundos de LOA, TED ou EP. Desempenhar atividades na Área de Gestão , tecnológica e científica; realizar atividades para o desenvolvimento institucional nas áreas de gestão de Ensino, administração, compras, contratos, materiais, planejamento e programação, orçamento e finanças, Gestão de Pessoas, informação e projetos; Assessorar as chefias no desempenho de suas funções, gerenciando informações, auxiliando na execução de tarefas administrativas; Adotar/desenvolver ferramentas de gestão visando a melhoria contínua do serviço; analisar consumos médios, saldos, previsibilidade, entre outros fatores; Controle de saldos e previsão de chegada e quebras de estoque, validades de produtos e materiais; Dispensação de materiais, avaliando consumo, histórico e necessidade; Emissão de relatórios (entrada e saída de materiais, consumos médios e totais, inventários rotativos e gerais, etc); Entrada e Saída de materiais, realizando conferência do produto, notas fiscais, valores e notas de empenho; Gestão de estoque, avaliando e analisando necessidades de novos processos de compra; Realização de inventários físicos e via sistema; Realizar/Participar da elaboração do planejamento estratégico do setor de curto, médio e longo prazo; Representação do Serviço de Administração de Materiais em reuniões com outros setores, além da Administração e Direção; Verificação diária de demandas via email; Gerar relatórios individualizados por paciente referente a cobrança realizada das internações, com vistas a subsidiar os setores estratégicos do hospital: Assessoria Processual, planejamento, estatística, chefias de serviço assistenciais, trazendo elementos para a tomada de decisão; Conferir diariamente nos sistemas de informação complementares da Secretaria Municipal de Saúde sobre registros e possíveis pendências para a cobrança dos procedimentos realizados; Monitorar diariamente a saída dos pacientes da internação (alta, evasão, transferência externa ou óbito) para cobrança imediata dos procedimentos realizados via censo de internação hospitalar; Realizar busca ativa de prontuários nos setores do hospital evitando assim perdas na cobrança da internação;</t>
  </si>
  <si>
    <t>Corresponde ao Analista de Gestão e Atenção à Saúde III - Analista Administrativo III / Nível superior.</t>
  </si>
  <si>
    <t xml:space="preserve">Técnico de audiovisual III </t>
  </si>
  <si>
    <t>Auxiliar profissionais do Instituto Fernandes 41 Processo nº 25384.000859/2020-34 – Pregão Eletrôniconº 25/2021-IFF Técnico audiovisual – III CBO 2621-35 01 40h Figueira, no tocante a utilização de programas e ferramentas de informática necessárias à realização de reuniões virtuais e webconferências; Realizar filmagens e edição de vídeos educativos voltados para as ações de qualificação profissional na rBLH; Realizar filmagens e edição de vídeos de reuniões, apresentações, palestras e bancas de mestrado e doutorado no Instituto Fernandes Figueira quando solicitado previamente; Monitorar e dar suporte aos usuários do telessaúde e da Rede RUTE; Zelar pelos equipamentos da sala de multimídia, mantendo os softwares atualizados sempre que possível; Ter conhecimento de sistemas de publicação e edição de imagens; Realizar a manutenção do Portal da rBLH; Realizar a inserção da produção audiovisual no canal youtube da Rblh; Apoiar na busca de material de promoção de aleitamento materno e doação de leite humano nas redes sociais e internet; Apoiar na organização de eventos técnico científicos da rBLH; Apoiar na organização de eventos realizados no Dia de Doação e da Semana Mundial de Aleitamento voltados para pacientes e clientes; Participar dos programas de qualificação da rBLH.</t>
  </si>
  <si>
    <t>Corresponde ao Técnico de audiovisual III  / Nível médio.</t>
  </si>
  <si>
    <t>Analista de Suporte Multimídia III/ Analista de Telecomunicação III</t>
  </si>
  <si>
    <t>Exercer atividades de média complexidade, gerenciar a inserção da produção audiovisual na plataforma de ensino a distância da rBLH, apoiando a produção de vídeos, identificando oportunidades de uso de materiais enviado pelos integrantes da rBLH; Criar e realizar a manutenção de comunidades virtuais, publicar e distribuir conteúdo em meios eletrônicos e digitais; Realizar a gestão da Plataforma Moodle para o desenvolvimento dos cursos EAD e Comunidades virtuais; Criar peças gráficas (infográficos, mapas, cards, banners, flyers, relatórios, etc) utilizadas pela rBLH; Realizar pesquisas sobre novas 37 Processo nº 25384.000859/2020-34 – Pregão Eletrôniconº 25/2021-IFF tecnologias de comunicação, educação e informação no âmbito da rBLH; Monitorar os indicadores de uso e eficiência da Plataforma Moodle na qualificação de profissionais da rBLH; Apoiar a área de conteúdo na produção editorial para otimizar as demandas da rBLH; Realizar pesquisas sobre sistemas de publicação e edição de imagens; Participar dos programas de qualificação da rBLH; Realizar Design Instrucional (DI) dos cursos; Realizar a homologação/migração da nova versão da Plataforma Moodle</t>
  </si>
  <si>
    <t>Corresponde ao Analista de Suporte Multimídia III/ Analista de Telecomunicação III /  Nível superior.</t>
  </si>
  <si>
    <t>Supervisor em Comunicação Social Visual / Gerente de Comunicação</t>
  </si>
  <si>
    <t>Exercer atividades de alta complexidade, supervisionar equipe na execução de atividades realizadas pelo Núcleo de Comunicação Social, Visual e Design; Garantir a manutenção dos serviços em situações de paralisações, pontos facultativos e férias dos demais profissionais do setor; Revisão, edição e participação na redação de todos os manuais institucionais produzidos pelo Núcleo de Comunicação Social e Design do IFF/Fiocruz, inclusive o Relatório Anual de Atividades; Revisão e edição de conteúdo dos materiais informativos e educativos produzidos pela instituição e submetidos ao Núcleo de Comunicação Social, Visual e Design para tratamento e diagramação; Revisão, edição e participação na redação do informativo trimestral para o usuário “Mamãe, eu quero”; Prestar suporte nas ações e projetos da instituição, como vídeos, grandes eventos e novas ferramentas de comunicação; Participar de reuniões, colegiados, comitês, fóruns e câmara técnica sempre que for solicitado</t>
  </si>
  <si>
    <t>Corresponde ao Supervisor e Comunicação Social Visual / Gerente de Comunicação /  Nível superior.</t>
  </si>
  <si>
    <t>Assistente de Gestão 2 / I</t>
  </si>
  <si>
    <t>4110-10</t>
  </si>
  <si>
    <t>03 a 05</t>
  </si>
  <si>
    <t xml:space="preserve">Prestar apoio às  atividades administrativas e operacionais, visando a organização e operacionalização das rotinas, e atender as necessidades da área, com foco na melhoria dos resultados.                     
• Auxiliar no levantamento e controles de dados e informações diversas.
• Subsidiar a confecção de relatórios gerenciais e de controle da informação. 
• Realizar atendimentos a público interno e externo, prestando suporte e direcionando demandas ou informações.
• Auxiliar na expedição, acompanhar, realizar a conferência e verificar as tramitações de documentos e processos administrativos, controlando o que estiver sob sua responsabilidade direta.
• Organizar arquivos, cadastros e registros, mantendo-os atualizados.
</t>
  </si>
  <si>
    <t>Corresponde ao Assistente de Gestão 2 / I / Pleno / Experiência de 03 a 05 anos / Nível médio.</t>
  </si>
  <si>
    <t>Assistente de Gestão 3/I</t>
  </si>
  <si>
    <t>mínimo 06 anos</t>
  </si>
  <si>
    <t>Corresponde ao Assistente de Gestão 3 / I / Pleno / Experiência mínima de 06 anos / Nível médio.</t>
  </si>
  <si>
    <t>Assistente de Gestão 2 / V</t>
  </si>
  <si>
    <t>Corresponde ao Assistente de Gestão 2 / V  / Pleno / Experiência de 03 a 05 anos / Nível médio.</t>
  </si>
  <si>
    <t>Analista de Gestão 1 / I</t>
  </si>
  <si>
    <t>2524-05</t>
  </si>
  <si>
    <t>01 a 03 anos</t>
  </si>
  <si>
    <t>Auxiliar no desempenho das atividades administrativas e de gestão da sua área de atuação.                                                                                                                                                 • Auxiliar no planejamento, controle e acompanhamento das atividades administrativas e de gestão e avaliar os resultados obtidos.                                                                                                                                                     •Auxiliar na coleta e análise dos dados e informações que subsidiam a gestão da área.                                                                                                                                                                                       •Participar de equipe interdisciplinar necessária ao desenvolvimento e melhoria dos processos, orientando e dando suporte às atividades inerentes à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Auxiliar na realização de estudos e apoio especializado com atuação proativa, preventiva, corretiva diretamente relacionados aos processos de gestão.                                                                                                                 • Auxiliar na identificação de oportunidades de melhoria e apoiar a implementação na área de atuação.                                                                                                                                                                                                                                                                                                                                                                                                                              •Operar e zelar pelo bom funcionamento das máquinas, equipamentos e outros bens da empresa relacionados à sua área de atuação.</t>
  </si>
  <si>
    <t>Corresponde ao Analista de Gestão 1 / I  / Junior / Experiência de 01 a 03 anos / Nível superior.</t>
  </si>
  <si>
    <t>Analista de Gestão 2 / I</t>
  </si>
  <si>
    <t>04 a 07 anos</t>
  </si>
  <si>
    <t xml:space="preserve">Auxiliar no desempenho das atividades administrativas e de gestão da sua área de atuação.                                                                                                                                                 • Auxiliar no planejamento, controle e acompanhamento das atividades administrativas e de gestão e avaliar os resultados obtidos.                                                                                                                                                     •Auxiliar na coleta e análise dos dados e informações que subsidiam a gestão da área.                                                                                                                                                                                       •Participar de equipe interdisciplinar necessária ao desenvolvimento e melhoria dos processos, orientando e dando suporte às atividades inerentes à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Auxiliar na realização de estudos e apoio especializado com atuação proativa, preventiva, corretiva diretamente relacionados aos processos de gestão.                                                                                                                 • Auxiliar na identificação de oportunidades de melhoria e apoiar a implementação na área de atuação.                                                                                                                                                                                                                                                                                                                                                                                                                              •Operar e zelar pelo bom funcionamento das máquinas, equipamentos e outros bens da empresa relacionados à sua área de atuação.  </t>
  </si>
  <si>
    <t>Corresponde ao Analista de Gestão 2 / I  / Pleno / Experiência de 04 a 07 anos / Nível superior.</t>
  </si>
  <si>
    <t>Analista de Gestão 2 / I / E</t>
  </si>
  <si>
    <t xml:space="preserve">Especialização </t>
  </si>
  <si>
    <t xml:space="preserve">Auxiliar no desempenho das atividades administrativas e de gestão da sua área de atuação.                                                                                                                                                 • Auxiliar no planejamento, controle e acompanhamento das atividades administrativas e de gestão e avaliar os resultados obtidos.                                                                                                                                                     •Auxiliar na coleta e análise dos dados e informações que subsidiam a gestão da área.                                                                                                                                                                                       •Participar de equipe interdisciplinar necessária ao desenvolvimento e melhoria dos processos, orientando e dando suporte às atividades inerentes à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Auxiliar na realização de estudos e apoio especializado com atuação proativa, preventiva, corretiva diretamente relacionados aos processos de gestão.                                                                                                                 • Auxiliar na identificação de oportunidades de melhoria e apoiar a implementação na área de atuação.                                                                                                                                                                                                                                                                                                                                                                                                                              •Operar e zelar pelo bom funcionamento das máquinas, equipamentos e outros bens da empresa relacionados à sua área de atuação.                   </t>
  </si>
  <si>
    <t>Corresponde ao Analista de Gestão 2 / I / E  / Experiência de 04 a 07 anos ( encontra-se dentro do internvalo do nível Sênior) / Nível superior.</t>
  </si>
  <si>
    <t>Analista de Gestão 3 / I / E</t>
  </si>
  <si>
    <t>Mínimo de 08 anos</t>
  </si>
  <si>
    <t xml:space="preserve">Auxiliar no desempenho das atividades administrativas e de gestão da sua área de atuação.                                                                                                                                                 • Auxiliar no planejamento, controle e acompanhamento das atividades administrativas e de gestão e avaliar os resultados obtidos.                                                                                                                                                     •Auxiliar na coleta e análise dos dados e informações que subsidiam a gestão da área.                                                                                                                                                                                       •Participar de equipe interdisciplinar necessária ao desenvolvimento e melhoria dos processos, orientando e dando suporte às atividades inerentes à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Auxiliar na realização de estudos e apoio especializado com atuação proativa, preventiva, corretiva diretamente relacionados aos processos de gestão.                                                                                                                 • Auxiliar na identificação de oportunidades de melhoria e apoiar a implementação na área de atuação.                                                                                                                                                                                                                                                                                                                                                                                                                              •Operar e zelar pelo bom funcionamento das máquinas, equipamentos e outros bens da empresa relacionados à sua área de atuação.   </t>
  </si>
  <si>
    <t>Corresponde ao Analista de Gestão 3 / I / E  / Experiência mínima de 08 anos / Nível superior.</t>
  </si>
  <si>
    <t>Engenheiro 2 / II</t>
  </si>
  <si>
    <t xml:space="preserve">02 a 05 </t>
  </si>
  <si>
    <t xml:space="preserve">Auxiliar no planejamento, execução e acompanhamento dos
projetos de engenharia e manutenção, melhorias das unidades
e processos da empresa relacionados às instalações, máquinas,
equipamentos e utilidades.
• Auxiliar no planejamento e acompanhamento das
manutenções preventiva, preditiva e corretiva.
• Auxiliar na realização de estudos e apoio especializado com
atuação proativa, preventiva e corretiva, diretamente
relacionados aos processos de engenharia.
• Auxiliar a orientar e dar suporte às atividades inerentes aos
serviços de engenharia e manutenção, participando de equipe
interdisciplinar necessária ao desenvolvimento e melhoria dos
processos da área.
• Auxiliar na elaboração e dar suporte na gestão das políticas,
normas, metodologias, rotinas e procedimentos e outros
instrumentos institucionais relacionados aos serviços de
engenharia e manutenção.
• Auxiliar na concepção, medição, análise e acompanhamento
dos indicadores de desempenho das áreas de engenharia e
manutenção.
</t>
  </si>
  <si>
    <t>Corresponde ao Engenheiro 2 / II /  Pleno / Experiência mínima de 02 a 05 anos / Nível superior.</t>
  </si>
  <si>
    <t xml:space="preserve">Auxiliar de inovação e operações farmacêuticas </t>
  </si>
  <si>
    <t>Fundamental Completo</t>
  </si>
  <si>
    <t xml:space="preserve">• Auxiliar nas atividades pertinentes às etapas do processo de assistência técnico-científico, estudos clínicos, desenvolvimento e transferência de tecnologia.                                                                                                                                                                                                                                                                               
• Auxiliar nas atividades laboratoriais e industriais conforme procedimentos técnico-operacionais definidos observando as normas vigentes e boas práticas.
• Auxiliar na execução, controle e acompanhamento das atividades pertinentes às etapas do processo produtivo, análise das operações e qualidade, e transferência de tecnologia.    
• Auxiliar no controle de documentos e verificar suas tramitações, atualizando e registrando informações da área técnica no sistema.                                                                         • Participação em Treinamentos obrigatório de:                                                                                                    Biossegurança
Boas Práticas de Laboratório                                                                                                          Boas Práticas Clínicas
Boas Práticas de Laboratórios Clínicos
Farmacovigilância e Tecnovigilância (Base para as atividades e processos de atendimento ao cliente)
Farmacovigilância e Tecnovigilância (Base para as atividades e processos de auditoria)                                                                                                                                                                         BPF - Módulo 1- Boas Práticas de Fabricação
BPF - Módulo 2 - Boas Práticas de Registros
BPF - Módulo 4 - Diretrizes Básicas para Validação de processos
BPF - Módulo 6 - Diretrizes Básicas de Calibração   
</t>
  </si>
  <si>
    <t>Corresponde ao Auxiliar de inovação e operações farmacêuticas /  Nível fundamental completo.</t>
  </si>
  <si>
    <t>Técnico de Gestão 3 / I</t>
  </si>
  <si>
    <t>Mínimo de 06 anos</t>
  </si>
  <si>
    <t>• Auxiliar na execução das atividades ambulatoriais, 
• Atuar nas campanhas, orientar e dar suporte nas atividades relacionadas a saúde do trabalhador.
• Auxiliar o acompanhamento dos casos de afastamento de funcionários por questões médicas.
• Auxiliar na análise e acompanhamento dos indicadores de desempenho dos processos da área.
• Participar de equipe interdisciplinar necessária ao desenvolvimento e melhoria dos processos atrelados a Medicina Ocupacional.
• Auxiliar na realização de estudos e apoio especializado com atuação proativa, preventiva, corretiva diretamente relacionados a área.
•Participação em Treinamentos obrigatório de:                                                                                                BPF - Módulo 1- Boas Práticas de Fabricação
BPF - Módulo 2 - Boas Práticas de Registros</t>
  </si>
  <si>
    <t>Corresponde ao  Técnico inovação e operações farmacêuticas 3 / I/  Pleno / Experiência mínima de 06 anos / Nível médio / Atividades semelhantes.</t>
  </si>
  <si>
    <t>Analista de inovação e operações farmacêuticas 2/I</t>
  </si>
  <si>
    <t>04 a 07</t>
  </si>
  <si>
    <t xml:space="preserve"> Auxiliar no desempenho das atividades administrativas e de gestão da sua área de atuação.                                                                                                                                                                                                                        • Auxiliar no planejamento, controle e acompanhamento das atividades, avaliando os resultados obtidos.                                                                                                                                                                                   • Auxiliar na coleta e análise dos dados e informações que subsidiam a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Apoiar as atividades técnico-finalísticas pertinentes às etapas do processo produtivo, assistência técnico-científica, estudos clínicos, análise das operações e qualidade, desenvolvimento e transferência de tecnologia.
• Apoiar as atividades pertinentes ao desenvolvimento tecnológico, transferência de tecnologia e estudos clínicos.                                                                                                 • Atuar no apoio às atividades do desenvolvimento de tecnologia e processos, atendendo aos projetos de inovação tecnológica em biotecnologia nas áreas de conhecimento, voltadas para biologia molecular e celular, microbiologia, parasitologia, imunologia e desenvolvimento de processos produtivos, incluindo purificação, caracterização, controle de qualidade e processamento final de produtos biológicos.                                                                                                                                                                     
• Participação em Treinamentos obrigatório de:                                                                                                   BPF - Módulo 1- Boas Práticas de Fabricação
BPF - Módulo 2 - Boas Práticas de Registros
BPF - Módulo 3 - Boas Práticas de Armazenagem
BPF - Módulo 4 - Diretrizes Básicas para Validação de processos
BPF - Módulo 6 - Diretrizes Básicas de Calibração
Biossegurança
Boas Práticas de Laboratório
Boas Práticas de Laboratórios Clínicos
Boas Práticas Clínicas
Farmacovigilância e Tecnovigilância (Base para as atividades e processos de auditoria)                                                                                                                                    Curso de Transporte Aéreo de Artigos Perigosos  (2 pessoas)
Curso de Transporte Terrestre de Produtos Perigosos (2 pessoas)                                                                      NR 13 - Vasos de Pressão
NR 13 - Caldeiras
NR 33 - Trabalho em espaço confinado 
NR 35 - Trabalho em Altura 
ISO 9001 – Sistemas de gestão da qualidade – Requisitos 
ISO 17.025 - Requisitos gerais para competência de laboratórios de ensaio e calibração
ISO 19.011 – Diretrizes para auditoria de sistemas de gestão
</t>
  </si>
  <si>
    <t xml:space="preserve">Corresponde Analista de inovação e operações farmacêuticas 2/I / Pleno / Experiência mínima de 04 a 07 anos / Nível superior. </t>
  </si>
  <si>
    <t>mínimo 08 anos</t>
  </si>
  <si>
    <t xml:space="preserve"> Auxiliar no desempenho das atividades administrativas e de gestão da sua área de atuação.                                                                                                                                                                                                                        • Auxiliar no planejamento, controle e acompanhamento das atividades, avaliando os resultados obtidos.                                                                                                                                                                                   • Auxiliar na coleta e análise dos dados e informações que subsidiam a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Apoiar as atividades técnico-finalísticas pertinentes às etapas do processo produtivo, assistência técnico-científica, estudos clínicos, análise das operações e qualidade, desenvolvimento e transferência de tecnologia.
• Apoiar as atividades pertinentes ao desenvolvimento tecnológico, transferência de tecnologia e estudos clínicos.                                                                                                 • Atuar no apoio às atividades do desenvolvimento de tecnologia e processos, atendendo aos projetos de inovação tecnológica em biotecnologia nas áreas de conhecimento, voltadas para biologia molecular e celular, microbiologia, parasitologia, imunologia e desenvolvimento de processos produtivos, incluindo purificação, caracterização, controle de qualidade e processamento final de produtos biológicos.                                                                                                                                                                     
• Participação em Treinamentos obrigatório de:                                                                                                   BPF - Módulo 1- Boas Práticas de Fabricação
BPF - Módulo 2 - Boas Práticas de Registros
BPF - Módulo 3 - Boas Práticas de Armazenagem
BPF - Módulo 4 - Diretrizes Básicas para Validação de processos
BPF - Módulo 6 - Diretrizes Básicas de Calibração
Biossegurança
Boas Práticas de Laboratório
Boas Práticas de Laboratórios Clínicos
Boas Práticas Clínicas
Farmacovigilância e Tecnovigilância (Base para as atividades e processos de auditoria)                                                                                                                                    Curso de Transporte Aéreo de Artigos Perigosos  (2 pessoas)
Curso de Transporte Terrestre de Produtos Perigosos (2 pessoas)                                                                      NR 13 - Vasos de Pressão
NR 13 - Caldeiras
NR 33 - Trabalho em espaço confinado 
NR 35 - Trabalho em Altura 
ISO 9001 – Sistemas de gestão da qualidade – Requisitos 
ISO 17.025 - Requisitos gerais para competência de laboratórios de ensaio e calibração
ISO 19.011 – Diretrizes para auditoria de sistemas de gestão   
</t>
  </si>
  <si>
    <t xml:space="preserve">Corresponde Analista de inovação e operações farmacêuticas 3/I / Sênior / Experiência mínima de 08 anos / Nível superior. </t>
  </si>
  <si>
    <t>Analista de inovação e operações farmacêuticas 2/III</t>
  </si>
  <si>
    <t xml:space="preserve">• Auxiliar no desempenho das atividades administrativas e de gestão da sua área de atuação.                                                                                                                                                                                                                        • Auxiliar no planejamento, controle e acompanhamento das atividades, avaliando os resultados obtidos.                                                                                                                                                                                   • Auxiliar na coleta e análise dos dados e informações que subsidiam a gestão da área.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Apoiar as atividades técnico-finalísticas pertinentes às etapas do processo produtivo, assistência técnico-científica, estudos clínicos, análise das operações e qualidade, desenvolvimento e transferência de tecnologia.
• Apoiar as atividades pertinentes ao desenvolvimento tecnológico, transferência de tecnologia e estudos clínicos.                                                                                                 • Atuar no apoio às atividades do desenvolvimento de tecnologia e processos, atendendo aos projetos de inovação tecnológica em biotecnologia nas áreas de conhecimento, voltadas para biologia molecular e celular, microbiologia, parasitologia, imunologia e desenvolvimento de processos produtivos, incluindo purificação, caracterização, controle de qualidade e processamento final de produtos biológicos.                                                                                                                                                                     
• Participação em Treinamentos obrigatório de:                                                                                                   BPF - Módulo 1- Boas Práticas de Fabricação
BPF - Módulo 2 - Boas Práticas de Registros
BPF - Módulo 3 - Boas Práticas de Armazenagem
BPF - Módulo 4 - Diretrizes Básicas para Validação de processos
BPF - Módulo 6 - Diretrizes Básicas de Calibração
Biossegurança
Boas Práticas de Laboratório
Boas Práticas de Laboratórios Clínicos
Boas Práticas Clínicas
Farmacovigilância e Tecnovigilância (Base para as atividades e processos de auditoria)                                                                                                                                    Curso de Transporte Aéreo de Artigos Perigosos  (2 pessoas)
Curso de Transporte Terrestre de Produtos Perigosos (2 pessoas)                                                                      NR 13 - Vasos de Pressão
NR 13 - Caldeiras
NR 33 - Trabalho em espaço confinado 
NR 35 - Trabalho em Altura 
ISO 9001 – Sistemas de gestão da qualidade – Requisitos 
ISO 17.025 - Requisitos gerais para competência de laboratórios de ensaio e calibração
ISO 19.011 – Diretrizes para auditoria de sistemas de gestão
</t>
  </si>
  <si>
    <t xml:space="preserve">Corresponde Analista de inovação e operações farmacêuticas 2/III / Sênior / Experiência04 a 07 anos / Nível superior. </t>
  </si>
  <si>
    <t>Médico do trabalho 3 / II / E</t>
  </si>
  <si>
    <t>08 a 10</t>
  </si>
  <si>
    <t xml:space="preserve">Auxiliar na execução das atividades ambulatoriais, 
• Atuar nas campanhas, orientar e dar suporte nas atividades relacionadas a saúde do trabalhador.
• Auxiliar o acompanhamento dos casos de afastamento de funcionários por questões médicas.
• Auxiliar na análise e acompanhamento dos indicadores de desempenho dos processos da área.
• Participar de equipe interdisciplinar necessária ao desenvolvimento e melhoria dos processos atrelados a Medicina Ocupacional.
• Auxiliar na realização de estudos e apoio especializado com atuação proativa, preventiva, corretiva diretamente relacionados a área.
•Participação em Treinamentos obrigatório de:                                                                                                BPF - Módulo 1- Boas Práticas de Fabricação
BPF - Módulo 2 - Boas Práticas de Registros
</t>
  </si>
  <si>
    <t>Corresponde ao Médico do trabalho 3 / II / E Master / Experiência  de 08 a 10 anos / Nível superior / Especialização.</t>
  </si>
  <si>
    <t>,</t>
  </si>
  <si>
    <t>Assistente em Gestão de Educação e Saúde II, perfil 1</t>
  </si>
  <si>
    <t>Mínimo 04</t>
  </si>
  <si>
    <t>Apoio nas áreas de recursos humanos, orçamento e finanças, logística, atendendo público interno e externo, tratamento de documentos variados, cumprindo todos os procedimentos padrão e legislações relacionadas à sua área de atuação, incluindo elaboração e alimentação de relatórios, planilhas e prévia análise com fundamentação nos conhecimentos em sua área de atuação, inclusive arquivamento de documentos, alimentação e atualização das informações nos sistemas da unidade e do órgão, consulta as informações nos sistemas do Governo Federal; sob orientação e supervisão técnica da área.</t>
  </si>
  <si>
    <t>Corresponde ao Assistente em Gestão de Educação e Saúde II / perfil 1/ Pleno / Experiência de no mínimo 04 anos / Nível médio.</t>
  </si>
  <si>
    <t>Analista em Gestão de Educaçao e Saúde I, perfil 1</t>
  </si>
  <si>
    <t>Mínio 03 anos</t>
  </si>
  <si>
    <t>Apoio no tratamento de documentos variados, cumprindo todos os procedimentos padrão e legislações relacionadas à sua área de atuação, como elaboração de documentos base para licitação, assim como o os respectivos acompanhamentos na execução do contrato, incluindo elaboração e alimentação de relatórios, planilhas e prévia análise com fundamentação dos conhecimentos em sua área de atuação, inclusive arquivamento de documentos; alimentação e atualização das informações nos sistemas da unidade e do órgão; sob orientação e supervisão técnica da área.</t>
  </si>
  <si>
    <t>Corresponde ao Analista em Gestão de Educaçao e Saúde I, perfil 1 / Júnior / Experiência de no mínimo 03 anos / Nível superior.</t>
  </si>
  <si>
    <t>Profissional de Apoio Técnico III / Perfil 1</t>
  </si>
  <si>
    <t>Minimo de 3 anos</t>
  </si>
  <si>
    <t xml:space="preserve">Apoio técnico na captação de imagens por câmeras de vídeo, edição de imagem para a 
realização de produções e multimídia, com teor documental e didático. Captar imagens em 
movimento, interpretar visualmente o roteiro, executar conceito fotográfico e organizar 
produção de imagens, acompanhar o corpo discente em atividades externas, alimentação e 
atualização das informações nos sistemas da unidade, sob orientação e supervisão da área.
</t>
  </si>
  <si>
    <t>Corresponde ao Profissional de Apoio Técnico III / Perfil 1 / Júnior / Experiência de no mínimo de 03 anos  na área de atuação / Nível Médio.</t>
  </si>
  <si>
    <t>Profissional de Apoio Técnico VI</t>
  </si>
  <si>
    <t>05 anos  na área de atuação</t>
  </si>
  <si>
    <t xml:space="preserve">Atuar com design gráfico, desenho de editorial, criação de projetos gráficos, diagramação, desenho de identidade visual, web design. Prestar apoio técnico as áreas mencionadas, para análise do(s) responsável(is) da área / unidade. </t>
  </si>
  <si>
    <t>Corresponde ao Profissional de Apoio Técnico VI / Perfil 2/  Pleno / Experiência de 05 anos  na área de atuação / Nível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</si>
</sst>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;[Red]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mbria"/>
      <family val="1"/>
    </font>
    <font>
      <sz val="8"/>
      <color rgb="FF000000"/>
      <name val="Cambria"/>
      <family val="1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mbria"/>
      <family val="1"/>
    </font>
    <font>
      <b/>
      <sz val="24"/>
      <color theme="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FF0000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3" applyFont="1" applyFill="1" applyAlignment="1">
      <alignment horizontal="center" vertical="center" wrapText="1"/>
    </xf>
    <xf numFmtId="1" fontId="11" fillId="0" borderId="0" xfId="3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4" fontId="15" fillId="0" borderId="0" xfId="3" applyFont="1" applyFill="1" applyAlignment="1">
      <alignment horizontal="center" vertical="center" wrapText="1"/>
    </xf>
    <xf numFmtId="44" fontId="12" fillId="4" borderId="6" xfId="3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7" fillId="4" borderId="10" xfId="0" applyNumberFormat="1" applyFont="1" applyFill="1" applyBorder="1" applyAlignment="1">
      <alignment horizontal="center" vertical="center" wrapText="1"/>
    </xf>
    <xf numFmtId="4" fontId="17" fillId="4" borderId="11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4" fontId="17" fillId="0" borderId="6" xfId="3" applyFont="1" applyBorder="1" applyAlignment="1">
      <alignment horizontal="center" vertical="center"/>
    </xf>
    <xf numFmtId="44" fontId="17" fillId="0" borderId="5" xfId="3" applyFont="1" applyBorder="1" applyAlignment="1">
      <alignment vertical="center"/>
    </xf>
    <xf numFmtId="44" fontId="18" fillId="0" borderId="0" xfId="3" applyFont="1" applyAlignment="1">
      <alignment vertical="center"/>
    </xf>
    <xf numFmtId="0" fontId="0" fillId="0" borderId="0" xfId="0" applyAlignment="1">
      <alignment horizontal="center" vertical="center" wrapText="1"/>
    </xf>
    <xf numFmtId="43" fontId="11" fillId="0" borderId="0" xfId="5" applyFont="1" applyFill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7" xfId="0" applyFont="1" applyBorder="1" applyAlignment="1">
      <alignment horizontal="center" vertical="center" wrapText="1"/>
    </xf>
    <xf numFmtId="44" fontId="19" fillId="5" borderId="2" xfId="3" applyFont="1" applyFill="1" applyBorder="1" applyAlignment="1">
      <alignment horizontal="center" vertical="center" wrapText="1"/>
    </xf>
    <xf numFmtId="1" fontId="19" fillId="5" borderId="2" xfId="3" applyNumberFormat="1" applyFont="1" applyFill="1" applyBorder="1" applyAlignment="1">
      <alignment horizontal="center" vertical="center" wrapText="1"/>
    </xf>
    <xf numFmtId="0" fontId="0" fillId="5" borderId="2" xfId="0" applyFill="1" applyBorder="1"/>
    <xf numFmtId="0" fontId="19" fillId="5" borderId="2" xfId="3" applyNumberFormat="1" applyFont="1" applyFill="1" applyBorder="1" applyAlignment="1">
      <alignment horizontal="center" vertical="center" wrapText="1"/>
    </xf>
    <xf numFmtId="44" fontId="19" fillId="5" borderId="18" xfId="3" applyFont="1" applyFill="1" applyBorder="1" applyAlignment="1">
      <alignment horizontal="center" vertical="center" wrapText="1"/>
    </xf>
    <xf numFmtId="44" fontId="19" fillId="5" borderId="16" xfId="3" applyFont="1" applyFill="1" applyBorder="1" applyAlignment="1">
      <alignment horizontal="center" vertical="center" wrapText="1"/>
    </xf>
    <xf numFmtId="1" fontId="19" fillId="5" borderId="16" xfId="3" applyNumberFormat="1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49" fontId="19" fillId="5" borderId="16" xfId="0" applyNumberFormat="1" applyFont="1" applyFill="1" applyBorder="1" applyAlignment="1">
      <alignment horizontal="center" vertical="center" wrapText="1"/>
    </xf>
    <xf numFmtId="44" fontId="19" fillId="5" borderId="19" xfId="3" applyFont="1" applyFill="1" applyBorder="1" applyAlignment="1">
      <alignment horizontal="center" vertical="center" wrapText="1"/>
    </xf>
    <xf numFmtId="44" fontId="19" fillId="5" borderId="20" xfId="3" applyFont="1" applyFill="1" applyBorder="1" applyAlignment="1">
      <alignment horizontal="center" vertical="center" wrapText="1"/>
    </xf>
    <xf numFmtId="44" fontId="19" fillId="5" borderId="21" xfId="3" applyFont="1" applyFill="1" applyBorder="1" applyAlignment="1">
      <alignment horizontal="center" vertical="center" wrapText="1"/>
    </xf>
    <xf numFmtId="44" fontId="11" fillId="5" borderId="21" xfId="3" applyFont="1" applyFill="1" applyBorder="1" applyAlignment="1">
      <alignment horizontal="center" vertical="center" wrapText="1"/>
    </xf>
    <xf numFmtId="44" fontId="20" fillId="5" borderId="21" xfId="3" applyFont="1" applyFill="1" applyBorder="1" applyAlignment="1">
      <alignment horizontal="center" vertical="center" wrapText="1"/>
    </xf>
    <xf numFmtId="44" fontId="19" fillId="5" borderId="22" xfId="3" applyFont="1" applyFill="1" applyBorder="1" applyAlignment="1">
      <alignment horizontal="center" vertical="center" wrapText="1"/>
    </xf>
    <xf numFmtId="44" fontId="19" fillId="5" borderId="4" xfId="3" applyFont="1" applyFill="1" applyBorder="1" applyAlignment="1">
      <alignment horizontal="center" vertical="center" wrapText="1"/>
    </xf>
    <xf numFmtId="1" fontId="19" fillId="5" borderId="4" xfId="3" applyNumberFormat="1" applyFont="1" applyFill="1" applyBorder="1" applyAlignment="1">
      <alignment horizontal="center" vertical="center" wrapText="1"/>
    </xf>
    <xf numFmtId="0" fontId="0" fillId="5" borderId="4" xfId="0" applyFill="1" applyBorder="1"/>
    <xf numFmtId="44" fontId="19" fillId="5" borderId="15" xfId="3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4" fontId="9" fillId="6" borderId="23" xfId="0" applyNumberFormat="1" applyFont="1" applyFill="1" applyBorder="1" applyAlignment="1">
      <alignment horizontal="center" vertical="center" wrapText="1"/>
    </xf>
    <xf numFmtId="4" fontId="9" fillId="6" borderId="11" xfId="0" applyNumberFormat="1" applyFont="1" applyFill="1" applyBorder="1" applyAlignment="1">
      <alignment horizontal="center" vertical="center" wrapText="1"/>
    </xf>
    <xf numFmtId="4" fontId="1" fillId="6" borderId="11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65" fontId="9" fillId="6" borderId="16" xfId="0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4" fontId="19" fillId="7" borderId="6" xfId="3" applyFont="1" applyFill="1" applyBorder="1" applyAlignment="1">
      <alignment horizontal="center" vertical="center" wrapText="1"/>
    </xf>
    <xf numFmtId="1" fontId="19" fillId="7" borderId="6" xfId="3" applyNumberFormat="1" applyFont="1" applyFill="1" applyBorder="1" applyAlignment="1">
      <alignment horizontal="center" vertical="center" wrapText="1"/>
    </xf>
    <xf numFmtId="44" fontId="19" fillId="7" borderId="13" xfId="3" applyFont="1" applyFill="1" applyBorder="1" applyAlignment="1">
      <alignment horizontal="center" vertical="center" wrapText="1"/>
    </xf>
    <xf numFmtId="44" fontId="19" fillId="7" borderId="16" xfId="3" applyFont="1" applyFill="1" applyBorder="1" applyAlignment="1">
      <alignment horizontal="center" vertical="center" wrapText="1"/>
    </xf>
    <xf numFmtId="1" fontId="19" fillId="7" borderId="16" xfId="3" applyNumberFormat="1" applyFont="1" applyFill="1" applyBorder="1" applyAlignment="1">
      <alignment horizontal="center" vertical="center" wrapText="1"/>
    </xf>
    <xf numFmtId="44" fontId="19" fillId="7" borderId="19" xfId="3" applyFont="1" applyFill="1" applyBorder="1" applyAlignment="1">
      <alignment horizontal="center" vertical="center" wrapText="1"/>
    </xf>
    <xf numFmtId="44" fontId="19" fillId="7" borderId="2" xfId="3" applyFont="1" applyFill="1" applyBorder="1" applyAlignment="1">
      <alignment horizontal="center" vertical="center" wrapText="1"/>
    </xf>
    <xf numFmtId="1" fontId="19" fillId="7" borderId="2" xfId="3" applyNumberFormat="1" applyFont="1" applyFill="1" applyBorder="1" applyAlignment="1">
      <alignment horizontal="center" vertical="center" wrapText="1"/>
    </xf>
    <xf numFmtId="44" fontId="19" fillId="7" borderId="21" xfId="3" applyFont="1" applyFill="1" applyBorder="1" applyAlignment="1">
      <alignment horizontal="center" vertical="center" wrapText="1"/>
    </xf>
    <xf numFmtId="44" fontId="11" fillId="7" borderId="21" xfId="3" applyFont="1" applyFill="1" applyBorder="1" applyAlignment="1">
      <alignment horizontal="center" vertical="center" wrapText="1"/>
    </xf>
    <xf numFmtId="44" fontId="20" fillId="7" borderId="21" xfId="3" applyFont="1" applyFill="1" applyBorder="1" applyAlignment="1">
      <alignment horizontal="center" vertical="center" wrapText="1"/>
    </xf>
    <xf numFmtId="44" fontId="19" fillId="7" borderId="4" xfId="3" applyFont="1" applyFill="1" applyBorder="1" applyAlignment="1">
      <alignment horizontal="center" vertical="center" wrapText="1"/>
    </xf>
    <xf numFmtId="1" fontId="19" fillId="7" borderId="4" xfId="3" applyNumberFormat="1" applyFont="1" applyFill="1" applyBorder="1" applyAlignment="1">
      <alignment horizontal="center" vertical="center" wrapText="1"/>
    </xf>
    <xf numFmtId="44" fontId="19" fillId="7" borderId="15" xfId="3" applyFont="1" applyFill="1" applyBorder="1" applyAlignment="1">
      <alignment horizontal="center" vertical="center" wrapText="1"/>
    </xf>
    <xf numFmtId="0" fontId="19" fillId="7" borderId="2" xfId="3" applyNumberFormat="1" applyFont="1" applyFill="1" applyBorder="1" applyAlignment="1">
      <alignment horizontal="center" vertical="center" wrapText="1"/>
    </xf>
    <xf numFmtId="43" fontId="19" fillId="7" borderId="6" xfId="5" applyFont="1" applyFill="1" applyBorder="1" applyAlignment="1">
      <alignment horizontal="center" vertical="center" wrapText="1"/>
    </xf>
    <xf numFmtId="43" fontId="19" fillId="7" borderId="16" xfId="5" applyFont="1" applyFill="1" applyBorder="1" applyAlignment="1">
      <alignment horizontal="center" vertical="center" wrapText="1"/>
    </xf>
    <xf numFmtId="43" fontId="19" fillId="7" borderId="2" xfId="5" applyFont="1" applyFill="1" applyBorder="1" applyAlignment="1">
      <alignment horizontal="center" vertical="center" wrapText="1"/>
    </xf>
    <xf numFmtId="43" fontId="19" fillId="7" borderId="4" xfId="5" applyFont="1" applyFill="1" applyBorder="1" applyAlignment="1">
      <alignment horizontal="center" vertical="center" wrapText="1"/>
    </xf>
    <xf numFmtId="44" fontId="21" fillId="7" borderId="19" xfId="2" applyNumberFormat="1" applyFont="1" applyFill="1" applyBorder="1" applyAlignment="1">
      <alignment horizontal="center" vertical="center" wrapText="1"/>
    </xf>
    <xf numFmtId="44" fontId="21" fillId="7" borderId="21" xfId="2" applyNumberFormat="1" applyFont="1" applyFill="1" applyBorder="1" applyAlignment="1">
      <alignment horizontal="center" vertical="center" wrapText="1"/>
    </xf>
    <xf numFmtId="44" fontId="22" fillId="7" borderId="21" xfId="2" applyNumberFormat="1" applyFont="1" applyFill="1" applyBorder="1" applyAlignment="1">
      <alignment horizontal="center" vertical="center" wrapText="1"/>
    </xf>
    <xf numFmtId="44" fontId="19" fillId="7" borderId="24" xfId="3" applyFont="1" applyFill="1" applyBorder="1" applyAlignment="1">
      <alignment horizontal="center" vertical="center" wrapText="1"/>
    </xf>
    <xf numFmtId="44" fontId="19" fillId="7" borderId="18" xfId="3" applyFont="1" applyFill="1" applyBorder="1" applyAlignment="1">
      <alignment horizontal="center" vertical="center" wrapText="1"/>
    </xf>
    <xf numFmtId="44" fontId="19" fillId="7" borderId="20" xfId="3" applyFont="1" applyFill="1" applyBorder="1" applyAlignment="1">
      <alignment horizontal="center" vertical="center" wrapText="1"/>
    </xf>
    <xf numFmtId="44" fontId="19" fillId="7" borderId="22" xfId="3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4" fontId="9" fillId="6" borderId="27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164" fontId="23" fillId="3" borderId="9" xfId="3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4" fontId="21" fillId="7" borderId="14" xfId="2" applyNumberFormat="1" applyFont="1" applyFill="1" applyBorder="1" applyAlignment="1">
      <alignment horizontal="center" vertical="center" wrapText="1"/>
    </xf>
    <xf numFmtId="8" fontId="19" fillId="7" borderId="20" xfId="3" applyNumberFormat="1" applyFont="1" applyFill="1" applyBorder="1" applyAlignment="1">
      <alignment horizontal="center" vertical="center" wrapText="1"/>
    </xf>
    <xf numFmtId="49" fontId="19" fillId="7" borderId="19" xfId="3" applyNumberFormat="1" applyFont="1" applyFill="1" applyBorder="1" applyAlignment="1">
      <alignment horizontal="center" vertical="center" wrapText="1"/>
    </xf>
    <xf numFmtId="49" fontId="19" fillId="7" borderId="21" xfId="3" applyNumberFormat="1" applyFont="1" applyFill="1" applyBorder="1" applyAlignment="1">
      <alignment horizontal="center" vertical="center" wrapText="1"/>
    </xf>
    <xf numFmtId="49" fontId="19" fillId="7" borderId="15" xfId="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21" fillId="7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19" fillId="7" borderId="30" xfId="3" applyFont="1" applyFill="1" applyBorder="1" applyAlignment="1">
      <alignment horizontal="center" vertical="center" wrapText="1"/>
    </xf>
    <xf numFmtId="44" fontId="19" fillId="0" borderId="0" xfId="3" applyFont="1" applyFill="1" applyAlignment="1">
      <alignment horizontal="center" vertical="center" wrapText="1"/>
    </xf>
    <xf numFmtId="49" fontId="19" fillId="7" borderId="13" xfId="3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4" fontId="11" fillId="5" borderId="2" xfId="3" applyFont="1" applyFill="1" applyBorder="1" applyAlignment="1">
      <alignment horizontal="center" vertical="center" wrapText="1"/>
    </xf>
    <xf numFmtId="1" fontId="11" fillId="5" borderId="2" xfId="3" applyNumberFormat="1" applyFont="1" applyFill="1" applyBorder="1" applyAlignment="1">
      <alignment horizontal="center" vertical="center" wrapText="1"/>
    </xf>
    <xf numFmtId="44" fontId="11" fillId="5" borderId="1" xfId="3" applyFont="1" applyFill="1" applyBorder="1" applyAlignment="1">
      <alignment horizontal="center" vertical="center" wrapText="1"/>
    </xf>
    <xf numFmtId="44" fontId="23" fillId="3" borderId="23" xfId="3" applyFont="1" applyFill="1" applyBorder="1" applyAlignment="1">
      <alignment horizontal="center" vertical="center"/>
    </xf>
    <xf numFmtId="44" fontId="23" fillId="3" borderId="11" xfId="3" applyFont="1" applyFill="1" applyBorder="1" applyAlignment="1">
      <alignment horizontal="center" vertical="center"/>
    </xf>
    <xf numFmtId="44" fontId="19" fillId="3" borderId="11" xfId="3" applyFont="1" applyFill="1" applyBorder="1" applyAlignment="1">
      <alignment horizontal="center" vertical="center"/>
    </xf>
    <xf numFmtId="44" fontId="23" fillId="3" borderId="12" xfId="3" applyFont="1" applyFill="1" applyBorder="1" applyAlignment="1">
      <alignment horizontal="center" vertical="center"/>
    </xf>
    <xf numFmtId="44" fontId="23" fillId="8" borderId="11" xfId="3" applyFont="1" applyFill="1" applyBorder="1" applyAlignment="1">
      <alignment horizontal="center" vertical="center"/>
    </xf>
    <xf numFmtId="44" fontId="19" fillId="8" borderId="31" xfId="3" applyFont="1" applyFill="1" applyBorder="1" applyAlignment="1">
      <alignment vertical="center"/>
    </xf>
    <xf numFmtId="164" fontId="24" fillId="0" borderId="0" xfId="3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wrapText="1"/>
    </xf>
    <xf numFmtId="44" fontId="4" fillId="5" borderId="21" xfId="3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4" fontId="6" fillId="5" borderId="20" xfId="1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44" fontId="9" fillId="5" borderId="21" xfId="3" applyFont="1" applyFill="1" applyBorder="1" applyAlignment="1">
      <alignment horizontal="center" vertical="center" wrapText="1"/>
    </xf>
    <xf numFmtId="2" fontId="12" fillId="0" borderId="5" xfId="3" applyNumberFormat="1" applyFont="1" applyFill="1" applyBorder="1" applyAlignment="1">
      <alignment horizontal="center" vertical="center" wrapText="1"/>
    </xf>
    <xf numFmtId="2" fontId="12" fillId="0" borderId="4" xfId="3" applyNumberFormat="1" applyFont="1" applyFill="1" applyBorder="1" applyAlignment="1">
      <alignment horizontal="center" vertical="center" wrapText="1"/>
    </xf>
    <xf numFmtId="1" fontId="12" fillId="0" borderId="5" xfId="3" applyNumberFormat="1" applyFont="1" applyFill="1" applyBorder="1" applyAlignment="1">
      <alignment horizontal="center" vertical="center" wrapText="1"/>
    </xf>
    <xf numFmtId="44" fontId="12" fillId="10" borderId="7" xfId="3" applyFont="1" applyFill="1" applyBorder="1" applyAlignment="1">
      <alignment horizontal="center" vertical="center" wrapText="1"/>
    </xf>
    <xf numFmtId="44" fontId="12" fillId="4" borderId="24" xfId="3" applyFont="1" applyFill="1" applyBorder="1" applyAlignment="1">
      <alignment horizontal="center" vertical="center" wrapText="1"/>
    </xf>
    <xf numFmtId="164" fontId="13" fillId="4" borderId="13" xfId="3" applyNumberFormat="1" applyFont="1" applyFill="1" applyBorder="1" applyAlignment="1">
      <alignment horizontal="center" vertical="center" wrapText="1"/>
    </xf>
    <xf numFmtId="0" fontId="19" fillId="7" borderId="19" xfId="3" applyNumberFormat="1" applyFont="1" applyFill="1" applyBorder="1" applyAlignment="1">
      <alignment horizontal="center" vertical="center" wrapText="1"/>
    </xf>
    <xf numFmtId="9" fontId="12" fillId="0" borderId="5" xfId="4" applyFont="1" applyFill="1" applyBorder="1" applyAlignment="1">
      <alignment horizontal="center" vertical="center" wrapText="1"/>
    </xf>
    <xf numFmtId="9" fontId="12" fillId="5" borderId="5" xfId="4" applyFont="1" applyFill="1" applyBorder="1" applyAlignment="1">
      <alignment horizontal="center" vertical="center" wrapText="1"/>
    </xf>
    <xf numFmtId="164" fontId="13" fillId="4" borderId="35" xfId="3" applyNumberFormat="1" applyFont="1" applyFill="1" applyBorder="1" applyAlignment="1">
      <alignment horizontal="center" vertical="center" wrapText="1"/>
    </xf>
    <xf numFmtId="0" fontId="0" fillId="0" borderId="2" xfId="0" applyBorder="1"/>
    <xf numFmtId="44" fontId="12" fillId="4" borderId="25" xfId="3" applyFont="1" applyFill="1" applyBorder="1" applyAlignment="1">
      <alignment horizontal="center" vertical="center" wrapText="1"/>
    </xf>
    <xf numFmtId="0" fontId="0" fillId="0" borderId="27" xfId="0" applyBorder="1"/>
    <xf numFmtId="9" fontId="11" fillId="0" borderId="0" xfId="4" applyFont="1" applyFill="1" applyAlignment="1">
      <alignment horizontal="center" vertical="center" wrapText="1"/>
    </xf>
    <xf numFmtId="9" fontId="19" fillId="7" borderId="2" xfId="4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44" fontId="4" fillId="5" borderId="19" xfId="3" applyFont="1" applyFill="1" applyBorder="1" applyAlignment="1">
      <alignment horizontal="center" vertical="center" wrapText="1"/>
    </xf>
    <xf numFmtId="44" fontId="30" fillId="5" borderId="21" xfId="3" applyFont="1" applyFill="1" applyBorder="1" applyAlignment="1">
      <alignment horizontal="center" vertical="center" wrapText="1"/>
    </xf>
    <xf numFmtId="9" fontId="17" fillId="0" borderId="13" xfId="4" applyFont="1" applyBorder="1" applyAlignment="1">
      <alignment horizontal="center" vertical="center"/>
    </xf>
    <xf numFmtId="9" fontId="17" fillId="0" borderId="14" xfId="4" applyFont="1" applyBorder="1" applyAlignment="1">
      <alignment horizontal="center" vertical="center"/>
    </xf>
    <xf numFmtId="9" fontId="17" fillId="11" borderId="14" xfId="4" applyFont="1" applyFill="1" applyBorder="1" applyAlignment="1">
      <alignment horizontal="center" vertical="center"/>
    </xf>
    <xf numFmtId="9" fontId="14" fillId="11" borderId="14" xfId="4" applyFont="1" applyFill="1" applyBorder="1" applyAlignment="1">
      <alignment horizontal="center" vertical="center"/>
    </xf>
    <xf numFmtId="9" fontId="17" fillId="0" borderId="5" xfId="4" applyFont="1" applyFill="1" applyBorder="1" applyAlignment="1">
      <alignment horizontal="center" vertical="center" wrapText="1"/>
    </xf>
    <xf numFmtId="9" fontId="18" fillId="0" borderId="0" xfId="4" applyFont="1" applyAlignment="1">
      <alignment horizontal="center" vertical="center"/>
    </xf>
    <xf numFmtId="1" fontId="4" fillId="5" borderId="2" xfId="3" applyNumberFormat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0" fontId="25" fillId="9" borderId="33" xfId="0" applyFont="1" applyFill="1" applyBorder="1" applyAlignment="1">
      <alignment horizontal="center" vertical="center" wrapText="1"/>
    </xf>
    <xf numFmtId="0" fontId="25" fillId="9" borderId="34" xfId="0" applyFont="1" applyFill="1" applyBorder="1" applyAlignment="1">
      <alignment horizontal="center" vertical="center" wrapText="1"/>
    </xf>
    <xf numFmtId="44" fontId="13" fillId="4" borderId="13" xfId="3" applyFont="1" applyFill="1" applyBorder="1" applyAlignment="1">
      <alignment horizontal="center" vertical="center" wrapText="1"/>
    </xf>
    <xf numFmtId="44" fontId="12" fillId="0" borderId="5" xfId="3" applyFont="1" applyFill="1" applyBorder="1" applyAlignment="1">
      <alignment horizontal="center" vertical="center" wrapText="1"/>
    </xf>
    <xf numFmtId="44" fontId="13" fillId="0" borderId="14" xfId="3" applyFont="1" applyFill="1" applyBorder="1" applyAlignment="1">
      <alignment horizontal="center" vertical="center"/>
    </xf>
    <xf numFmtId="44" fontId="12" fillId="10" borderId="8" xfId="3" applyFont="1" applyFill="1" applyBorder="1" applyAlignment="1">
      <alignment horizontal="center" vertical="center" wrapText="1"/>
    </xf>
    <xf numFmtId="44" fontId="14" fillId="0" borderId="14" xfId="3" applyFont="1" applyFill="1" applyBorder="1" applyAlignment="1">
      <alignment horizontal="center" vertical="center"/>
    </xf>
    <xf numFmtId="44" fontId="12" fillId="0" borderId="4" xfId="3" applyFont="1" applyFill="1" applyBorder="1" applyAlignment="1">
      <alignment horizontal="center" vertical="center" wrapText="1"/>
    </xf>
    <xf numFmtId="44" fontId="16" fillId="0" borderId="0" xfId="3" applyFont="1" applyFill="1" applyBorder="1" applyAlignment="1">
      <alignment horizontal="center" vertical="center"/>
    </xf>
    <xf numFmtId="44" fontId="12" fillId="10" borderId="9" xfId="3" applyFont="1" applyFill="1" applyBorder="1" applyAlignment="1">
      <alignment horizontal="center" vertical="center" wrapText="1"/>
    </xf>
    <xf numFmtId="44" fontId="13" fillId="3" borderId="7" xfId="3" applyFont="1" applyFill="1" applyBorder="1" applyAlignment="1">
      <alignment horizontal="center" vertical="center" wrapText="1"/>
    </xf>
    <xf numFmtId="44" fontId="12" fillId="10" borderId="5" xfId="3" applyFont="1" applyFill="1" applyBorder="1" applyAlignment="1">
      <alignment horizontal="center" vertical="center" wrapText="1"/>
    </xf>
    <xf numFmtId="44" fontId="13" fillId="3" borderId="5" xfId="3" applyFont="1" applyFill="1" applyBorder="1" applyAlignment="1">
      <alignment horizontal="center" vertical="center"/>
    </xf>
    <xf numFmtId="44" fontId="13" fillId="3" borderId="2" xfId="3" applyFont="1" applyFill="1" applyBorder="1" applyAlignment="1">
      <alignment horizontal="center" vertical="center"/>
    </xf>
    <xf numFmtId="44" fontId="13" fillId="8" borderId="0" xfId="3" applyFont="1" applyFill="1" applyBorder="1" applyAlignment="1">
      <alignment horizontal="center" vertical="center"/>
    </xf>
    <xf numFmtId="44" fontId="14" fillId="3" borderId="2" xfId="3" applyFont="1" applyFill="1" applyBorder="1" applyAlignment="1">
      <alignment horizontal="center" vertical="center"/>
    </xf>
    <xf numFmtId="44" fontId="12" fillId="3" borderId="2" xfId="3" applyFont="1" applyFill="1" applyBorder="1" applyAlignment="1">
      <alignment horizontal="center" vertical="center"/>
    </xf>
    <xf numFmtId="44" fontId="13" fillId="3" borderId="4" xfId="3" applyFont="1" applyFill="1" applyBorder="1" applyAlignment="1">
      <alignment horizontal="center" vertical="center"/>
    </xf>
    <xf numFmtId="44" fontId="13" fillId="4" borderId="35" xfId="3" applyFont="1" applyFill="1" applyBorder="1" applyAlignment="1">
      <alignment horizontal="center" vertical="center" wrapText="1"/>
    </xf>
    <xf numFmtId="44" fontId="0" fillId="0" borderId="2" xfId="3" applyFont="1" applyBorder="1"/>
    <xf numFmtId="44" fontId="0" fillId="0" borderId="0" xfId="3" applyFont="1"/>
    <xf numFmtId="44" fontId="12" fillId="0" borderId="32" xfId="3" applyFont="1" applyFill="1" applyBorder="1" applyAlignment="1">
      <alignment horizontal="center" vertical="center" wrapText="1"/>
    </xf>
    <xf numFmtId="9" fontId="12" fillId="5" borderId="1" xfId="4" applyFont="1" applyFill="1" applyBorder="1" applyAlignment="1">
      <alignment horizontal="center" vertical="center" wrapText="1"/>
    </xf>
    <xf numFmtId="0" fontId="0" fillId="0" borderId="1" xfId="0" applyBorder="1"/>
    <xf numFmtId="9" fontId="12" fillId="5" borderId="8" xfId="4" applyFont="1" applyFill="1" applyBorder="1" applyAlignment="1">
      <alignment horizontal="center" vertical="center" wrapText="1"/>
    </xf>
    <xf numFmtId="9" fontId="14" fillId="11" borderId="36" xfId="0" applyNumberFormat="1" applyFont="1" applyFill="1" applyBorder="1" applyAlignment="1">
      <alignment horizontal="center" vertical="center"/>
    </xf>
    <xf numFmtId="44" fontId="13" fillId="0" borderId="2" xfId="3" applyFont="1" applyFill="1" applyBorder="1" applyAlignment="1">
      <alignment horizontal="center" vertical="center"/>
    </xf>
    <xf numFmtId="10" fontId="17" fillId="0" borderId="2" xfId="0" applyNumberFormat="1" applyFont="1" applyBorder="1" applyAlignment="1">
      <alignment vertical="center"/>
    </xf>
    <xf numFmtId="44" fontId="12" fillId="0" borderId="2" xfId="3" applyFont="1" applyFill="1" applyBorder="1" applyAlignment="1">
      <alignment horizontal="center" vertical="center" wrapText="1"/>
    </xf>
    <xf numFmtId="10" fontId="17" fillId="11" borderId="2" xfId="0" applyNumberFormat="1" applyFont="1" applyFill="1" applyBorder="1" applyAlignment="1">
      <alignment vertical="center"/>
    </xf>
    <xf numFmtId="9" fontId="13" fillId="0" borderId="2" xfId="4" applyFont="1" applyFill="1" applyBorder="1" applyAlignment="1">
      <alignment horizontal="center" vertical="center"/>
    </xf>
    <xf numFmtId="44" fontId="12" fillId="0" borderId="22" xfId="3" applyFont="1" applyFill="1" applyBorder="1" applyAlignment="1">
      <alignment horizontal="center" vertical="center" wrapText="1"/>
    </xf>
    <xf numFmtId="44" fontId="13" fillId="0" borderId="15" xfId="3" applyFont="1" applyFill="1" applyBorder="1" applyAlignment="1">
      <alignment horizontal="center" vertical="center"/>
    </xf>
    <xf numFmtId="44" fontId="12" fillId="10" borderId="3" xfId="3" applyFont="1" applyFill="1" applyBorder="1" applyAlignment="1">
      <alignment horizontal="center" vertical="center" wrapText="1"/>
    </xf>
    <xf numFmtId="1" fontId="12" fillId="0" borderId="4" xfId="3" applyNumberFormat="1" applyFont="1" applyFill="1" applyBorder="1" applyAlignment="1">
      <alignment horizontal="center" vertical="center" wrapText="1"/>
    </xf>
    <xf numFmtId="44" fontId="12" fillId="10" borderId="4" xfId="3" applyFont="1" applyFill="1" applyBorder="1" applyAlignment="1">
      <alignment horizontal="center" vertical="center" wrapText="1"/>
    </xf>
    <xf numFmtId="44" fontId="17" fillId="0" borderId="4" xfId="3" applyFont="1" applyBorder="1" applyAlignment="1">
      <alignment vertical="center"/>
    </xf>
    <xf numFmtId="9" fontId="28" fillId="11" borderId="15" xfId="4" applyFont="1" applyFill="1" applyBorder="1" applyAlignment="1">
      <alignment horizontal="center" vertical="center"/>
    </xf>
    <xf numFmtId="9" fontId="12" fillId="5" borderId="4" xfId="4" applyFont="1" applyFill="1" applyBorder="1" applyAlignment="1">
      <alignment horizontal="center" vertical="center" wrapText="1"/>
    </xf>
    <xf numFmtId="44" fontId="13" fillId="0" borderId="4" xfId="3" applyFont="1" applyFill="1" applyBorder="1" applyAlignment="1">
      <alignment horizontal="center" vertical="center"/>
    </xf>
    <xf numFmtId="10" fontId="17" fillId="11" borderId="4" xfId="0" applyNumberFormat="1" applyFont="1" applyFill="1" applyBorder="1" applyAlignment="1">
      <alignment horizontal="center" vertical="center"/>
    </xf>
    <xf numFmtId="9" fontId="12" fillId="5" borderId="3" xfId="4" applyFont="1" applyFill="1" applyBorder="1" applyAlignment="1">
      <alignment horizontal="center" vertical="center" wrapText="1"/>
    </xf>
  </cellXfs>
  <cellStyles count="6">
    <cellStyle name="Ênfase5" xfId="1" builtinId="45"/>
    <cellStyle name="Hiperlink" xfId="2" builtinId="8"/>
    <cellStyle name="Moeda" xfId="3" builtinId="4"/>
    <cellStyle name="Normal" xfId="0" builtinId="0"/>
    <cellStyle name="Porcentagem" xfId="4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zoomScaleNormal="100" workbookViewId="0">
      <pane xSplit="1" topLeftCell="B1" activePane="topRight" state="frozen"/>
      <selection pane="topRight" activeCell="V52" sqref="V52"/>
    </sheetView>
  </sheetViews>
  <sheetFormatPr defaultRowHeight="15" x14ac:dyDescent="0.25"/>
  <cols>
    <col min="1" max="1" width="15.140625" style="10" customWidth="1"/>
    <col min="2" max="17" width="13.140625" style="11" customWidth="1"/>
    <col min="18" max="18" width="13.140625" style="170" customWidth="1"/>
    <col min="19" max="21" width="13.140625" style="11" customWidth="1"/>
    <col min="22" max="22" width="17.140625" style="170" customWidth="1"/>
    <col min="23" max="23" width="12.140625" style="21" bestFit="1" customWidth="1"/>
    <col min="24" max="24" width="11.5703125" style="158" bestFit="1" customWidth="1"/>
    <col min="27" max="27" width="15.7109375" style="182" customWidth="1"/>
    <col min="28" max="28" width="12.5703125" style="182" customWidth="1"/>
  </cols>
  <sheetData>
    <row r="1" spans="1:30" ht="30.75" customHeight="1" thickBot="1" x14ac:dyDescent="0.3">
      <c r="A1" s="162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</row>
    <row r="2" spans="1:30" s="9" customFormat="1" ht="34.5" thickBot="1" x14ac:dyDescent="0.3">
      <c r="A2" s="13" t="s">
        <v>118</v>
      </c>
      <c r="B2" s="139" t="s">
        <v>119</v>
      </c>
      <c r="C2" s="12" t="s">
        <v>120</v>
      </c>
      <c r="D2" s="12" t="s">
        <v>121</v>
      </c>
      <c r="E2" s="12" t="s">
        <v>122</v>
      </c>
      <c r="F2" s="12" t="s">
        <v>123</v>
      </c>
      <c r="G2" s="12" t="s">
        <v>124</v>
      </c>
      <c r="H2" s="12" t="s">
        <v>125</v>
      </c>
      <c r="I2" s="12" t="s">
        <v>126</v>
      </c>
      <c r="J2" s="12" t="s">
        <v>127</v>
      </c>
      <c r="K2" s="12" t="s">
        <v>128</v>
      </c>
      <c r="L2" s="12" t="s">
        <v>129</v>
      </c>
      <c r="M2" s="12" t="s">
        <v>130</v>
      </c>
      <c r="N2" s="12" t="s">
        <v>131</v>
      </c>
      <c r="O2" s="12" t="s">
        <v>132</v>
      </c>
      <c r="P2" s="12" t="s">
        <v>133</v>
      </c>
      <c r="Q2" s="12" t="s">
        <v>134</v>
      </c>
      <c r="R2" s="164" t="s">
        <v>135</v>
      </c>
      <c r="S2" s="138" t="s">
        <v>136</v>
      </c>
      <c r="T2" s="146" t="s">
        <v>137</v>
      </c>
      <c r="U2" s="171" t="s">
        <v>138</v>
      </c>
      <c r="V2" s="172" t="s">
        <v>139</v>
      </c>
      <c r="W2" s="19" t="s">
        <v>140</v>
      </c>
      <c r="X2" s="153" t="s">
        <v>141</v>
      </c>
      <c r="Y2" s="140" t="s">
        <v>142</v>
      </c>
      <c r="Z2" s="140" t="s">
        <v>143</v>
      </c>
      <c r="AA2" s="180" t="s">
        <v>144</v>
      </c>
      <c r="AB2" s="180" t="s">
        <v>140</v>
      </c>
      <c r="AC2" s="144" t="s">
        <v>141</v>
      </c>
      <c r="AD2" s="144" t="s">
        <v>145</v>
      </c>
    </row>
    <row r="3" spans="1:30" ht="38.25" customHeight="1" x14ac:dyDescent="0.25">
      <c r="A3" s="14" t="s">
        <v>14</v>
      </c>
      <c r="B3" s="183">
        <f>Salario.com!M2</f>
        <v>2144.638095238095</v>
      </c>
      <c r="C3" s="165">
        <f>'Trabalha Brasil'!M2</f>
        <v>2582.33</v>
      </c>
      <c r="D3" s="165">
        <f>'Cargos.com'!M2</f>
        <v>2103.31</v>
      </c>
      <c r="E3" s="165">
        <f>Glassdoor!M2</f>
        <v>2000</v>
      </c>
      <c r="F3" s="165">
        <f>Leme!M2</f>
        <v>0</v>
      </c>
      <c r="G3" s="165">
        <f>Catho!N2</f>
        <v>2500</v>
      </c>
      <c r="H3" s="165">
        <f>Aneel!N2</f>
        <v>0</v>
      </c>
      <c r="I3" s="165">
        <f>CJF!M2</f>
        <v>0</v>
      </c>
      <c r="J3" s="165">
        <f>'FAR '!M2</f>
        <v>3125.07</v>
      </c>
      <c r="K3" s="165">
        <f>'INI '!N2</f>
        <v>0</v>
      </c>
      <c r="L3" s="165">
        <f>'COGIC '!M2</f>
        <v>3170.0181818181818</v>
      </c>
      <c r="M3" s="165">
        <f>'INCQS '!M2</f>
        <v>2612.4400000000005</v>
      </c>
      <c r="N3" s="165">
        <f>'COC '!M2</f>
        <v>0</v>
      </c>
      <c r="O3" s="165">
        <f>'IFF '!M2</f>
        <v>2690.37</v>
      </c>
      <c r="P3" s="165">
        <f>'BIO '!M2</f>
        <v>3905.08</v>
      </c>
      <c r="Q3" s="165">
        <f>POLI!N2</f>
        <v>3995.8100000000004</v>
      </c>
      <c r="R3" s="166">
        <v>2721.4733710595206</v>
      </c>
      <c r="S3" s="167">
        <f>SUM(B3:R3)</f>
        <v>33550.539648115795</v>
      </c>
      <c r="T3" s="137">
        <f>COUNTIF(B3:R3,"&lt;&gt;"&amp;"0")</f>
        <v>12</v>
      </c>
      <c r="U3" s="173">
        <f>S3/T3</f>
        <v>2795.8783040096496</v>
      </c>
      <c r="V3" s="174">
        <v>2721.4733710595206</v>
      </c>
      <c r="W3" s="20">
        <f>V3-U3</f>
        <v>-74.404932950129023</v>
      </c>
      <c r="X3" s="154">
        <f>(V3/U3)-1</f>
        <v>-2.6612364652432441E-2</v>
      </c>
      <c r="Y3" s="135">
        <f>STDEVA(B3,C3,D3,E3,G3,J3,L3,M3,O3,P3,Q3,R3)</f>
        <v>649.41678695075836</v>
      </c>
      <c r="Z3" s="142">
        <f>Y3/U3</f>
        <v>0.23227648571806972</v>
      </c>
      <c r="AA3" s="181"/>
      <c r="AB3" s="181"/>
      <c r="AC3" s="147"/>
      <c r="AD3" s="145"/>
    </row>
    <row r="4" spans="1:30" ht="38.25" customHeight="1" x14ac:dyDescent="0.25">
      <c r="A4" s="15" t="s">
        <v>19</v>
      </c>
      <c r="B4" s="183">
        <f>Salario.com!M3</f>
        <v>2688.6857142857143</v>
      </c>
      <c r="C4" s="165">
        <f>'Trabalha Brasil'!M3</f>
        <v>2969.6799999999994</v>
      </c>
      <c r="D4" s="165">
        <f>'Cargos.com'!M3</f>
        <v>3678.0299999999997</v>
      </c>
      <c r="E4" s="165">
        <f>Glassdoor!M3</f>
        <v>2500</v>
      </c>
      <c r="F4" s="165">
        <f>Leme!M3</f>
        <v>0</v>
      </c>
      <c r="G4" s="165">
        <f>Catho!N3</f>
        <v>2750</v>
      </c>
      <c r="H4" s="165">
        <f>Aneel!N3</f>
        <v>0</v>
      </c>
      <c r="I4" s="165">
        <f>CJF!M3</f>
        <v>0</v>
      </c>
      <c r="J4" s="165">
        <f>'FAR '!M3</f>
        <v>4008.7199999999993</v>
      </c>
      <c r="K4" s="165">
        <f>'INI '!N3</f>
        <v>0</v>
      </c>
      <c r="L4" s="165">
        <f>'COGIC '!M3</f>
        <v>3676.545454545454</v>
      </c>
      <c r="M4" s="165">
        <f>'INCQS '!M3</f>
        <v>0</v>
      </c>
      <c r="N4" s="165">
        <f>'COC '!M3</f>
        <v>0</v>
      </c>
      <c r="O4" s="165">
        <f>'IFF '!M3</f>
        <v>3224.96</v>
      </c>
      <c r="P4" s="165">
        <f>'BIO '!M3</f>
        <v>4983.99</v>
      </c>
      <c r="Q4" s="165">
        <f>POLI!N3</f>
        <v>0</v>
      </c>
      <c r="R4" s="166">
        <v>3525.8529983600006</v>
      </c>
      <c r="S4" s="167">
        <f t="shared" ref="S4:S37" si="0">SUM(B4:R4)</f>
        <v>34006.464167191167</v>
      </c>
      <c r="T4" s="137">
        <f t="shared" ref="T4:T37" si="1">COUNTIF(B4:R4,"&lt;&gt;"&amp;"0")</f>
        <v>10</v>
      </c>
      <c r="U4" s="173">
        <f t="shared" ref="U4:U37" si="2">S4/T4</f>
        <v>3400.6464167191166</v>
      </c>
      <c r="V4" s="175">
        <v>3525.8529983600006</v>
      </c>
      <c r="W4" s="20">
        <f t="shared" ref="W4:W37" si="3">V4-U4</f>
        <v>125.206581640884</v>
      </c>
      <c r="X4" s="154">
        <f t="shared" ref="X4:X37" si="4">(V4/U4)-1</f>
        <v>3.6818465167478776E-2</v>
      </c>
      <c r="Y4" s="135">
        <f>STDEVA(B4,C4,D4,E4,G4,J4,L4,O4,P4,R4)</f>
        <v>745.61380706259808</v>
      </c>
      <c r="Z4" s="142">
        <f t="shared" ref="Z4:Z37" si="5">Y4/U4</f>
        <v>0.21925649294111355</v>
      </c>
      <c r="AA4" s="181"/>
      <c r="AB4" s="181"/>
      <c r="AC4" s="147"/>
      <c r="AD4" s="145"/>
    </row>
    <row r="5" spans="1:30" ht="38.25" customHeight="1" x14ac:dyDescent="0.25">
      <c r="A5" s="16" t="s">
        <v>23</v>
      </c>
      <c r="B5" s="183">
        <f>Salario.com!M4</f>
        <v>8219.8048780487788</v>
      </c>
      <c r="C5" s="165">
        <f>'Trabalha Brasil'!M4</f>
        <v>2444.6999999999998</v>
      </c>
      <c r="D5" s="165">
        <f>'Cargos.com'!M4</f>
        <v>5250.65</v>
      </c>
      <c r="E5" s="165">
        <f>Glassdoor!M4</f>
        <v>5000</v>
      </c>
      <c r="F5" s="165">
        <f>Leme!M4</f>
        <v>0</v>
      </c>
      <c r="G5" s="165">
        <f>Catho!N4</f>
        <v>0</v>
      </c>
      <c r="H5" s="165">
        <f>Aneel!N4</f>
        <v>0</v>
      </c>
      <c r="I5" s="165">
        <f>CJF!M4</f>
        <v>0</v>
      </c>
      <c r="J5" s="165">
        <f>'FAR '!M4</f>
        <v>4246.5200000000004</v>
      </c>
      <c r="K5" s="165">
        <f>'INI '!N4</f>
        <v>0</v>
      </c>
      <c r="L5" s="165">
        <f>'COGIC '!M4</f>
        <v>4227.8090909090915</v>
      </c>
      <c r="M5" s="165">
        <f>'INCQS '!M4</f>
        <v>0</v>
      </c>
      <c r="N5" s="165">
        <f>'COC '!M4</f>
        <v>4449.3727272727283</v>
      </c>
      <c r="O5" s="165">
        <f>'IFF '!M4</f>
        <v>0</v>
      </c>
      <c r="P5" s="165">
        <f>'BIO '!M4</f>
        <v>4746.6499999999996</v>
      </c>
      <c r="Q5" s="165">
        <f>POLI!N4</f>
        <v>0</v>
      </c>
      <c r="R5" s="166">
        <v>4768.06052287488</v>
      </c>
      <c r="S5" s="167">
        <f t="shared" si="0"/>
        <v>43353.567219105484</v>
      </c>
      <c r="T5" s="137">
        <f t="shared" si="1"/>
        <v>9</v>
      </c>
      <c r="U5" s="173">
        <f t="shared" si="2"/>
        <v>4817.0630243450541</v>
      </c>
      <c r="V5" s="175">
        <v>4768.06052287488</v>
      </c>
      <c r="W5" s="20">
        <f t="shared" si="3"/>
        <v>-49.002501470174138</v>
      </c>
      <c r="X5" s="154">
        <f t="shared" si="4"/>
        <v>-1.0172692618410695E-2</v>
      </c>
      <c r="Y5" s="135">
        <f>STDEVA(B5,C5,D5,E5,J5,L5,N5,P5,R5)</f>
        <v>1510.1124535590659</v>
      </c>
      <c r="Z5" s="143">
        <f t="shared" si="5"/>
        <v>0.31349235954088156</v>
      </c>
      <c r="AA5" s="188">
        <v>4391.7202926320879</v>
      </c>
      <c r="AB5" s="188">
        <f>V5-AA5</f>
        <v>376.34023024279213</v>
      </c>
      <c r="AC5" s="189">
        <f>(V5/AA5)-1</f>
        <v>8.5693123688721951E-2</v>
      </c>
      <c r="AD5" s="184">
        <v>0.2</v>
      </c>
    </row>
    <row r="6" spans="1:30" ht="38.25" customHeight="1" x14ac:dyDescent="0.25">
      <c r="A6" s="15" t="s">
        <v>25</v>
      </c>
      <c r="B6" s="183">
        <f>Salario.com!M5</f>
        <v>4573.4476190476189</v>
      </c>
      <c r="C6" s="165">
        <f>'Trabalha Brasil'!M5</f>
        <v>3589.42</v>
      </c>
      <c r="D6" s="165">
        <f>'Cargos.com'!M5</f>
        <v>2120.86</v>
      </c>
      <c r="E6" s="165">
        <f>Glassdoor!M5</f>
        <v>3000</v>
      </c>
      <c r="F6" s="165">
        <f>Leme!M5</f>
        <v>0</v>
      </c>
      <c r="G6" s="165">
        <f>Catho!N5</f>
        <v>3250</v>
      </c>
      <c r="H6" s="165">
        <f>Aneel!N5</f>
        <v>0</v>
      </c>
      <c r="I6" s="165">
        <f>CJF!M5</f>
        <v>0</v>
      </c>
      <c r="J6" s="165">
        <f>'FAR '!M5</f>
        <v>4670.26</v>
      </c>
      <c r="K6" s="165">
        <f>'INI '!N5</f>
        <v>0</v>
      </c>
      <c r="L6" s="165">
        <f>'COGIC '!M6</f>
        <v>5597.2181818181807</v>
      </c>
      <c r="M6" s="165">
        <f>'INCQS '!M5</f>
        <v>3064.84</v>
      </c>
      <c r="N6" s="165">
        <f>'COC '!M5</f>
        <v>0</v>
      </c>
      <c r="O6" s="165">
        <f>'IFF '!M5</f>
        <v>0</v>
      </c>
      <c r="P6" s="165">
        <f>'BIO '!M5</f>
        <v>5543.75</v>
      </c>
      <c r="Q6" s="165">
        <f>POLI!N5</f>
        <v>4595.16</v>
      </c>
      <c r="R6" s="166">
        <v>3525.86</v>
      </c>
      <c r="S6" s="167">
        <f t="shared" si="0"/>
        <v>43530.815800865807</v>
      </c>
      <c r="T6" s="137">
        <f t="shared" si="1"/>
        <v>11</v>
      </c>
      <c r="U6" s="173">
        <f t="shared" si="2"/>
        <v>3957.3468909878006</v>
      </c>
      <c r="V6" s="176">
        <v>3525.86</v>
      </c>
      <c r="W6" s="20">
        <f t="shared" si="3"/>
        <v>-431.48689098780051</v>
      </c>
      <c r="X6" s="155">
        <f t="shared" si="4"/>
        <v>-0.10903438664182818</v>
      </c>
      <c r="Y6" s="135">
        <f>STDEVA(B6,C6,D6,E6,G6,J6,L6,M6,P6,Q6,R6)</f>
        <v>1113.9183059914872</v>
      </c>
      <c r="Z6" s="143">
        <f t="shared" si="5"/>
        <v>0.28148108737403105</v>
      </c>
      <c r="AA6" s="188">
        <v>3598.8719576719577</v>
      </c>
      <c r="AB6" s="188">
        <f>V6-AA6</f>
        <v>-73.011957671957589</v>
      </c>
      <c r="AC6" s="189">
        <f>(V6/AA6)-1</f>
        <v>-2.0287456328173303E-2</v>
      </c>
      <c r="AD6" s="184">
        <v>0.24</v>
      </c>
    </row>
    <row r="7" spans="1:30" ht="38.25" customHeight="1" x14ac:dyDescent="0.25">
      <c r="A7" s="15" t="s">
        <v>30</v>
      </c>
      <c r="B7" s="183">
        <f>Salario.com!M6</f>
        <v>4913.9619047619044</v>
      </c>
      <c r="C7" s="165">
        <f>'Trabalha Brasil'!M6</f>
        <v>4486.7700000000004</v>
      </c>
      <c r="D7" s="165">
        <f>'Cargos.com'!M6</f>
        <v>5273.18</v>
      </c>
      <c r="E7" s="165">
        <f>Glassdoor!M6</f>
        <v>4000</v>
      </c>
      <c r="F7" s="165">
        <f>Leme!M6</f>
        <v>0</v>
      </c>
      <c r="G7" s="165">
        <f>Catho!N6</f>
        <v>3500</v>
      </c>
      <c r="H7" s="165">
        <f>Aneel!N6</f>
        <v>0</v>
      </c>
      <c r="I7" s="165">
        <f>CJF!M6</f>
        <v>0</v>
      </c>
      <c r="J7" s="165">
        <f>'FAR '!M6</f>
        <v>5183.24</v>
      </c>
      <c r="K7" s="165">
        <f>'INI '!N6</f>
        <v>0</v>
      </c>
      <c r="L7" s="165">
        <f>'COGIC '!M7</f>
        <v>6167.9181818181814</v>
      </c>
      <c r="M7" s="165">
        <f>'INCQS '!M6</f>
        <v>4053.77</v>
      </c>
      <c r="N7" s="165">
        <f>'COC '!M6</f>
        <v>5492.7999999999993</v>
      </c>
      <c r="O7" s="165">
        <f>'IFF '!M6</f>
        <v>0</v>
      </c>
      <c r="P7" s="165">
        <f>'BIO '!M6</f>
        <v>7649.17</v>
      </c>
      <c r="Q7" s="165">
        <f>POLI!N6</f>
        <v>0</v>
      </c>
      <c r="R7" s="166">
        <v>4768.06052287488</v>
      </c>
      <c r="S7" s="167">
        <f t="shared" si="0"/>
        <v>55488.870609454963</v>
      </c>
      <c r="T7" s="137">
        <f t="shared" si="1"/>
        <v>11</v>
      </c>
      <c r="U7" s="173">
        <f t="shared" si="2"/>
        <v>5044.4427826777237</v>
      </c>
      <c r="V7" s="175">
        <v>4768.06052287488</v>
      </c>
      <c r="W7" s="20">
        <f t="shared" si="3"/>
        <v>-276.38225980284369</v>
      </c>
      <c r="X7" s="154">
        <f t="shared" si="4"/>
        <v>-5.4789452811700334E-2</v>
      </c>
      <c r="Y7" s="135">
        <f>STDEVA(B7,C7,D7,E7,G7,J7,L7,M7,N7,P7,R7)</f>
        <v>1148.1035915260106</v>
      </c>
      <c r="Z7" s="142">
        <f t="shared" si="5"/>
        <v>0.2275977032524823</v>
      </c>
      <c r="AA7" s="181"/>
      <c r="AB7" s="181"/>
      <c r="AC7" s="145"/>
      <c r="AD7" s="185"/>
    </row>
    <row r="8" spans="1:30" ht="38.25" customHeight="1" x14ac:dyDescent="0.25">
      <c r="A8" s="17" t="s">
        <v>31</v>
      </c>
      <c r="B8" s="183">
        <f>Salario.com!M7</f>
        <v>6213.2190476190481</v>
      </c>
      <c r="C8" s="165">
        <f>'Trabalha Brasil'!M7</f>
        <v>5608.46</v>
      </c>
      <c r="D8" s="165">
        <f>'Cargos.com'!M7</f>
        <v>10558.97</v>
      </c>
      <c r="E8" s="165">
        <f>Glassdoor!M7</f>
        <v>5000</v>
      </c>
      <c r="F8" s="165">
        <f>Leme!M7</f>
        <v>0</v>
      </c>
      <c r="G8" s="165">
        <f>Catho!N7</f>
        <v>3750</v>
      </c>
      <c r="H8" s="165">
        <f>Aneel!N7</f>
        <v>0</v>
      </c>
      <c r="I8" s="165">
        <f>CJF!M7</f>
        <v>0</v>
      </c>
      <c r="J8" s="165">
        <f>'FAR '!M7</f>
        <v>6595.1</v>
      </c>
      <c r="K8" s="165">
        <f>'INI '!N7</f>
        <v>0</v>
      </c>
      <c r="L8" s="165">
        <f>'COGIC '!M8</f>
        <v>6804.4636363636355</v>
      </c>
      <c r="M8" s="165">
        <f>'INCQS '!M7</f>
        <v>5254.89</v>
      </c>
      <c r="N8" s="165">
        <f>'COC '!M7</f>
        <v>0</v>
      </c>
      <c r="O8" s="165">
        <f>'IFF '!M7</f>
        <v>6920.44</v>
      </c>
      <c r="P8" s="165">
        <f>'BIO '!M7</f>
        <v>8414.09</v>
      </c>
      <c r="Q8" s="165">
        <f>POLI!N7</f>
        <v>0</v>
      </c>
      <c r="R8" s="166">
        <v>5559.5559680000006</v>
      </c>
      <c r="S8" s="167">
        <f t="shared" si="0"/>
        <v>70679.18865198268</v>
      </c>
      <c r="T8" s="137">
        <f t="shared" si="1"/>
        <v>11</v>
      </c>
      <c r="U8" s="173">
        <f t="shared" si="2"/>
        <v>6425.3807865438803</v>
      </c>
      <c r="V8" s="175">
        <v>5559.5559680000006</v>
      </c>
      <c r="W8" s="20">
        <f t="shared" si="3"/>
        <v>-865.8248185438797</v>
      </c>
      <c r="X8" s="155">
        <f t="shared" si="4"/>
        <v>-0.13475074043192925</v>
      </c>
      <c r="Y8" s="135">
        <f>STDEVA(B8,C8,D8,E8,G8,J8,L8,M8,O8,P8,R8)</f>
        <v>1829.7694493284084</v>
      </c>
      <c r="Z8" s="143">
        <f t="shared" si="5"/>
        <v>0.28477214193442613</v>
      </c>
      <c r="AA8" s="188">
        <v>5745.1254057758542</v>
      </c>
      <c r="AB8" s="188">
        <f>V8-AA8</f>
        <v>-185.56943777585366</v>
      </c>
      <c r="AC8" s="189">
        <f>(V8/AA8)-1</f>
        <v>-3.2300328481827734E-2</v>
      </c>
      <c r="AD8" s="184">
        <v>0.17701963253647754</v>
      </c>
    </row>
    <row r="9" spans="1:30" ht="38.25" customHeight="1" x14ac:dyDescent="0.25">
      <c r="A9" s="17" t="s">
        <v>35</v>
      </c>
      <c r="B9" s="183">
        <f>Salario.com!M8</f>
        <v>7871.7999999999993</v>
      </c>
      <c r="C9" s="165">
        <f>'Trabalha Brasil'!M8</f>
        <v>7010.58</v>
      </c>
      <c r="D9" s="165">
        <f>'Cargos.com'!M8</f>
        <v>11674.154999999999</v>
      </c>
      <c r="E9" s="165">
        <f>Glassdoor!M8</f>
        <v>5500</v>
      </c>
      <c r="F9" s="165">
        <f>Leme!M8</f>
        <v>0</v>
      </c>
      <c r="G9" s="165">
        <f>Catho!N8</f>
        <v>3875</v>
      </c>
      <c r="H9" s="165">
        <f>Aneel!N8</f>
        <v>0</v>
      </c>
      <c r="I9" s="165">
        <f>CJF!M8</f>
        <v>0</v>
      </c>
      <c r="J9" s="165">
        <f>'FAR '!M8</f>
        <v>6788.84</v>
      </c>
      <c r="K9" s="165">
        <f>'INI '!N8</f>
        <v>0</v>
      </c>
      <c r="L9" s="165">
        <f>'COGIC '!M9</f>
        <v>0</v>
      </c>
      <c r="M9" s="165">
        <f>'INCQS '!M8</f>
        <v>6756.29</v>
      </c>
      <c r="N9" s="165">
        <f>'COC '!M8</f>
        <v>0</v>
      </c>
      <c r="O9" s="165">
        <f>'IFF '!M8</f>
        <v>6028.6899999999987</v>
      </c>
      <c r="P9" s="165">
        <f>'BIO '!M8</f>
        <v>11801.18</v>
      </c>
      <c r="Q9" s="165">
        <f>POLI!N8</f>
        <v>0</v>
      </c>
      <c r="R9" s="166">
        <v>5837.4998235769608</v>
      </c>
      <c r="S9" s="167">
        <f t="shared" si="0"/>
        <v>73144.034823576963</v>
      </c>
      <c r="T9" s="137">
        <f t="shared" si="1"/>
        <v>10</v>
      </c>
      <c r="U9" s="173">
        <f t="shared" si="2"/>
        <v>7314.4034823576967</v>
      </c>
      <c r="V9" s="175">
        <v>5837.4998235769608</v>
      </c>
      <c r="W9" s="20">
        <f t="shared" si="3"/>
        <v>-1476.9036587807359</v>
      </c>
      <c r="X9" s="155">
        <f t="shared" si="4"/>
        <v>-0.20191717100964146</v>
      </c>
      <c r="Y9" s="135">
        <f>STDEVA(B9,C9,D9,E9,G9,J9,M9,O9,P9,R9)</f>
        <v>2562.2291492982345</v>
      </c>
      <c r="Z9" s="143">
        <f t="shared" si="5"/>
        <v>0.35029912630309745</v>
      </c>
      <c r="AA9" s="188">
        <v>6208.5874779471196</v>
      </c>
      <c r="AB9" s="188">
        <f>V9-AA9</f>
        <v>-371.08765437015882</v>
      </c>
      <c r="AC9" s="189">
        <f>(V9/AA9)-1</f>
        <v>-5.9770061336537617E-2</v>
      </c>
      <c r="AD9" s="184">
        <v>0.19408372149068595</v>
      </c>
    </row>
    <row r="10" spans="1:30" ht="38.25" customHeight="1" x14ac:dyDescent="0.25">
      <c r="A10" s="17" t="s">
        <v>38</v>
      </c>
      <c r="B10" s="183">
        <f>Salario.com!M9</f>
        <v>3420.29</v>
      </c>
      <c r="C10" s="165">
        <f>'Trabalha Brasil'!M9</f>
        <v>2882.23</v>
      </c>
      <c r="D10" s="165">
        <f>'Cargos.com'!M9</f>
        <v>3966.2800000000007</v>
      </c>
      <c r="E10" s="165">
        <f>Glassdoor!M9</f>
        <v>4500</v>
      </c>
      <c r="F10" s="165">
        <f>Leme!M9</f>
        <v>0</v>
      </c>
      <c r="G10" s="165">
        <f>Catho!N9</f>
        <v>0</v>
      </c>
      <c r="H10" s="165">
        <f>Aneel!N9</f>
        <v>0</v>
      </c>
      <c r="I10" s="165">
        <f>CJF!M9</f>
        <v>0</v>
      </c>
      <c r="J10" s="165">
        <f>'FAR '!M9</f>
        <v>0</v>
      </c>
      <c r="K10" s="165">
        <f>'INI '!N9</f>
        <v>0</v>
      </c>
      <c r="L10" s="165">
        <f>'COGIC '!M10</f>
        <v>0</v>
      </c>
      <c r="M10" s="165">
        <f>'INCQS '!M9</f>
        <v>0</v>
      </c>
      <c r="N10" s="165">
        <f>'COC '!M9</f>
        <v>0</v>
      </c>
      <c r="O10" s="165">
        <f>'IFF '!M9</f>
        <v>3224.96</v>
      </c>
      <c r="P10" s="165">
        <f>'BIO '!M9</f>
        <v>0</v>
      </c>
      <c r="Q10" s="165">
        <f>POLI!N9</f>
        <v>3995.8100000000004</v>
      </c>
      <c r="R10" s="166">
        <v>3525.8529983600006</v>
      </c>
      <c r="S10" s="167">
        <f t="shared" si="0"/>
        <v>25515.422998360005</v>
      </c>
      <c r="T10" s="137">
        <f t="shared" si="1"/>
        <v>7</v>
      </c>
      <c r="U10" s="173">
        <f t="shared" si="2"/>
        <v>3645.0604283371435</v>
      </c>
      <c r="V10" s="175">
        <v>3525.8529983600006</v>
      </c>
      <c r="W10" s="20">
        <f t="shared" si="3"/>
        <v>-119.20742997714297</v>
      </c>
      <c r="X10" s="154">
        <f t="shared" si="4"/>
        <v>-3.2703828186333994E-2</v>
      </c>
      <c r="Y10" s="135">
        <f>STDEVA(B10,D10,E10,O10,R10,Q10,C10)</f>
        <v>544.71028010902592</v>
      </c>
      <c r="Z10" s="142">
        <f t="shared" si="5"/>
        <v>0.14943792862098579</v>
      </c>
      <c r="AA10" s="181"/>
      <c r="AB10" s="181"/>
      <c r="AC10" s="145"/>
      <c r="AD10" s="185"/>
    </row>
    <row r="11" spans="1:30" ht="38.25" customHeight="1" x14ac:dyDescent="0.25">
      <c r="A11" s="17" t="s">
        <v>41</v>
      </c>
      <c r="B11" s="183">
        <f>Salario.com!M10</f>
        <v>4482.086486486487</v>
      </c>
      <c r="C11" s="165">
        <f>'Trabalha Brasil'!M10</f>
        <v>2907.43</v>
      </c>
      <c r="D11" s="165">
        <f>'Cargos.com'!M10</f>
        <v>3966.2800000000007</v>
      </c>
      <c r="E11" s="165">
        <f>Glassdoor!M10</f>
        <v>3500</v>
      </c>
      <c r="F11" s="165">
        <f>Leme!M10</f>
        <v>0</v>
      </c>
      <c r="G11" s="165">
        <f>Catho!N10</f>
        <v>0</v>
      </c>
      <c r="H11" s="165">
        <f>Aneel!N10</f>
        <v>4062.58</v>
      </c>
      <c r="I11" s="165">
        <f>CJF!M10</f>
        <v>0</v>
      </c>
      <c r="J11" s="165">
        <f>'FAR '!M10</f>
        <v>0</v>
      </c>
      <c r="K11" s="165">
        <f>'INI '!N10</f>
        <v>0</v>
      </c>
      <c r="L11" s="165">
        <f>'COGIC '!M11</f>
        <v>0</v>
      </c>
      <c r="M11" s="165">
        <f>'INCQS '!M10</f>
        <v>0</v>
      </c>
      <c r="N11" s="165">
        <f>'COC '!M10</f>
        <v>0</v>
      </c>
      <c r="O11" s="165">
        <f>'IFF '!M10</f>
        <v>3224.96</v>
      </c>
      <c r="P11" s="165">
        <f>'BIO '!M10</f>
        <v>0</v>
      </c>
      <c r="Q11" s="165">
        <f>POLI!N10</f>
        <v>3995.8100000000004</v>
      </c>
      <c r="R11" s="166">
        <v>3525.8529983600006</v>
      </c>
      <c r="S11" s="167">
        <f t="shared" si="0"/>
        <v>29664.999484846488</v>
      </c>
      <c r="T11" s="137">
        <f t="shared" si="1"/>
        <v>8</v>
      </c>
      <c r="U11" s="173">
        <f t="shared" si="2"/>
        <v>3708.1249356058111</v>
      </c>
      <c r="V11" s="175">
        <v>3525.8529983600006</v>
      </c>
      <c r="W11" s="20">
        <f t="shared" si="3"/>
        <v>-182.27193724581048</v>
      </c>
      <c r="X11" s="154">
        <f t="shared" si="4"/>
        <v>-4.9154745433633074E-2</v>
      </c>
      <c r="Y11" s="135">
        <f>STDEVA(B11,C11,D11,E11,H11,O11,Q11,R11)</f>
        <v>510.62446241219374</v>
      </c>
      <c r="Z11" s="142">
        <f t="shared" si="5"/>
        <v>0.13770422282947459</v>
      </c>
      <c r="AA11" s="181"/>
      <c r="AB11" s="181"/>
      <c r="AC11" s="145"/>
      <c r="AD11" s="185"/>
    </row>
    <row r="12" spans="1:30" ht="38.25" customHeight="1" x14ac:dyDescent="0.25">
      <c r="A12" s="17" t="s">
        <v>43</v>
      </c>
      <c r="B12" s="183">
        <f>Salario.com!M11</f>
        <v>2248.4465116279071</v>
      </c>
      <c r="C12" s="165">
        <f>'Trabalha Brasil'!M11</f>
        <v>3144.4799999999996</v>
      </c>
      <c r="D12" s="165">
        <f>'Cargos.com'!M11</f>
        <v>2029.61</v>
      </c>
      <c r="E12" s="165">
        <f>Glassdoor!M11</f>
        <v>4000</v>
      </c>
      <c r="F12" s="165">
        <f>Leme!M11</f>
        <v>4650</v>
      </c>
      <c r="G12" s="165">
        <f>Catho!N11</f>
        <v>2500</v>
      </c>
      <c r="H12" s="165">
        <f>Aneel!N11</f>
        <v>0</v>
      </c>
      <c r="I12" s="165">
        <f>CJF!M11</f>
        <v>0</v>
      </c>
      <c r="J12" s="165">
        <f>'FAR '!M11</f>
        <v>4040.37</v>
      </c>
      <c r="K12" s="165">
        <f>'INI '!N11</f>
        <v>0</v>
      </c>
      <c r="L12" s="165">
        <f>'COGIC '!M12</f>
        <v>0</v>
      </c>
      <c r="M12" s="165">
        <f>'INCQS '!M11</f>
        <v>0</v>
      </c>
      <c r="N12" s="165">
        <f>'COC '!M11</f>
        <v>0</v>
      </c>
      <c r="O12" s="165">
        <f>'IFF '!M11</f>
        <v>0</v>
      </c>
      <c r="P12" s="165">
        <f>'BIO '!M11</f>
        <v>0</v>
      </c>
      <c r="Q12" s="165">
        <f>POLI!N11</f>
        <v>0</v>
      </c>
      <c r="R12" s="166">
        <v>3525.8529983600006</v>
      </c>
      <c r="S12" s="167">
        <f t="shared" si="0"/>
        <v>26138.759509987907</v>
      </c>
      <c r="T12" s="137">
        <f t="shared" si="1"/>
        <v>8</v>
      </c>
      <c r="U12" s="173">
        <f t="shared" si="2"/>
        <v>3267.3449387484884</v>
      </c>
      <c r="V12" s="175">
        <v>3525.8529983600006</v>
      </c>
      <c r="W12" s="20">
        <f t="shared" si="3"/>
        <v>258.50805961151218</v>
      </c>
      <c r="X12" s="154">
        <f t="shared" si="4"/>
        <v>7.9118692534045687E-2</v>
      </c>
      <c r="Y12" s="135">
        <f>STDEVA(B12,C12,D12,E12,F12,G12,J12,R12)</f>
        <v>947.7016145069083</v>
      </c>
      <c r="Z12" s="143">
        <f t="shared" si="5"/>
        <v>0.29005251428088041</v>
      </c>
      <c r="AA12" s="190">
        <v>3444.164215712558</v>
      </c>
      <c r="AB12" s="188">
        <f>V12-AA12</f>
        <v>81.688782647442622</v>
      </c>
      <c r="AC12" s="189">
        <f>(V12/AA12)-1</f>
        <v>2.3718027809118913E-2</v>
      </c>
      <c r="AD12" s="184">
        <v>0.25</v>
      </c>
    </row>
    <row r="13" spans="1:30" ht="38.25" customHeight="1" x14ac:dyDescent="0.25">
      <c r="A13" s="17" t="s">
        <v>47</v>
      </c>
      <c r="B13" s="183">
        <f>Salario.com!M12</f>
        <v>3102.6604651162788</v>
      </c>
      <c r="C13" s="165">
        <f>'Trabalha Brasil'!M12</f>
        <v>3862.86</v>
      </c>
      <c r="D13" s="165">
        <f>'Cargos.com'!M12</f>
        <v>3712.39</v>
      </c>
      <c r="E13" s="165">
        <f>Glassdoor!M12</f>
        <v>3500</v>
      </c>
      <c r="F13" s="165">
        <f>Leme!M12</f>
        <v>0</v>
      </c>
      <c r="G13" s="165">
        <f>Catho!N12</f>
        <v>3500</v>
      </c>
      <c r="H13" s="165">
        <f>Aneel!N12</f>
        <v>0</v>
      </c>
      <c r="I13" s="165">
        <f>CJF!M12</f>
        <v>0</v>
      </c>
      <c r="J13" s="165">
        <f>'FAR '!M12</f>
        <v>4280.7</v>
      </c>
      <c r="K13" s="165">
        <f>'INI '!N12</f>
        <v>0</v>
      </c>
      <c r="L13" s="165">
        <f>'COGIC '!M13</f>
        <v>0</v>
      </c>
      <c r="M13" s="165">
        <f>'INCQS '!M12</f>
        <v>0</v>
      </c>
      <c r="N13" s="165">
        <f>'COC '!M12</f>
        <v>0</v>
      </c>
      <c r="O13" s="165">
        <f>'IFF '!M12</f>
        <v>0</v>
      </c>
      <c r="P13" s="165">
        <f>'BIO '!M12</f>
        <v>0</v>
      </c>
      <c r="Q13" s="165">
        <f>POLI!N12</f>
        <v>0</v>
      </c>
      <c r="R13" s="168">
        <v>0</v>
      </c>
      <c r="S13" s="167">
        <f t="shared" si="0"/>
        <v>21958.610465116279</v>
      </c>
      <c r="T13" s="137">
        <f t="shared" si="1"/>
        <v>6</v>
      </c>
      <c r="U13" s="173">
        <f t="shared" si="2"/>
        <v>3659.7684108527133</v>
      </c>
      <c r="V13" s="177">
        <f>U13</f>
        <v>3659.7684108527133</v>
      </c>
      <c r="W13" s="20">
        <f t="shared" si="3"/>
        <v>0</v>
      </c>
      <c r="X13" s="154">
        <f t="shared" si="4"/>
        <v>0</v>
      </c>
      <c r="Y13" s="135">
        <f>STDEVA(B13,C13,D13,E13,G13,J13)</f>
        <v>397.74172952890012</v>
      </c>
      <c r="Z13" s="142">
        <f t="shared" si="5"/>
        <v>0.10867948046915561</v>
      </c>
      <c r="AA13" s="181"/>
      <c r="AB13" s="181"/>
      <c r="AC13" s="145"/>
      <c r="AD13" s="185"/>
    </row>
    <row r="14" spans="1:30" ht="38.25" customHeight="1" x14ac:dyDescent="0.25">
      <c r="A14" s="17" t="s">
        <v>50</v>
      </c>
      <c r="B14" s="183">
        <f>Salario.com!M13</f>
        <v>5095.6000000000004</v>
      </c>
      <c r="C14" s="165">
        <f>'Trabalha Brasil'!M13</f>
        <v>3935.69</v>
      </c>
      <c r="D14" s="165">
        <f>'Cargos.com'!M13</f>
        <v>4827.6400000000003</v>
      </c>
      <c r="E14" s="165">
        <f>Glassdoor!M13</f>
        <v>5000</v>
      </c>
      <c r="F14" s="165">
        <f>Leme!M13</f>
        <v>0</v>
      </c>
      <c r="G14" s="165">
        <f>Catho!N13</f>
        <v>0</v>
      </c>
      <c r="H14" s="165">
        <f>Aneel!N13</f>
        <v>0</v>
      </c>
      <c r="I14" s="165">
        <f>CJF!M13</f>
        <v>0</v>
      </c>
      <c r="J14" s="165">
        <f>'FAR '!M13</f>
        <v>0</v>
      </c>
      <c r="K14" s="165">
        <f>'INI '!N13</f>
        <v>0</v>
      </c>
      <c r="L14" s="165">
        <f>'COGIC '!M14</f>
        <v>0</v>
      </c>
      <c r="M14" s="165">
        <f>'INCQS '!M13</f>
        <v>0</v>
      </c>
      <c r="N14" s="165">
        <f>'COC '!M13</f>
        <v>0</v>
      </c>
      <c r="O14" s="165">
        <f>'IFF '!M13</f>
        <v>0</v>
      </c>
      <c r="P14" s="165">
        <f>'BIO '!M13</f>
        <v>0</v>
      </c>
      <c r="Q14" s="165">
        <f>POLI!N13</f>
        <v>0</v>
      </c>
      <c r="R14" s="166">
        <v>4317.0823782979196</v>
      </c>
      <c r="S14" s="167">
        <f t="shared" si="0"/>
        <v>23176.012378297921</v>
      </c>
      <c r="T14" s="137">
        <f t="shared" si="1"/>
        <v>5</v>
      </c>
      <c r="U14" s="173">
        <f t="shared" si="2"/>
        <v>4635.2024756595838</v>
      </c>
      <c r="V14" s="175">
        <v>4317.0823782979196</v>
      </c>
      <c r="W14" s="20">
        <f t="shared" si="3"/>
        <v>-318.12009736166419</v>
      </c>
      <c r="X14" s="154">
        <f t="shared" si="4"/>
        <v>-6.8631327117246621E-2</v>
      </c>
      <c r="Y14" s="135">
        <f>STDEVA(B14,C14,D14,E14,R14)</f>
        <v>493.10075413315474</v>
      </c>
      <c r="Z14" s="142">
        <f t="shared" si="5"/>
        <v>0.10638170753543773</v>
      </c>
      <c r="AA14" s="181"/>
      <c r="AB14" s="181"/>
      <c r="AC14" s="145"/>
      <c r="AD14" s="185"/>
    </row>
    <row r="15" spans="1:30" ht="38.25" customHeight="1" x14ac:dyDescent="0.25">
      <c r="A15" s="17" t="s">
        <v>54</v>
      </c>
      <c r="B15" s="183">
        <f>Salario.com!M14</f>
        <v>5382.7384615384617</v>
      </c>
      <c r="C15" s="165">
        <f>'Trabalha Brasil'!M14</f>
        <v>6279.78</v>
      </c>
      <c r="D15" s="165">
        <f>'Cargos.com'!M14</f>
        <v>10510.67</v>
      </c>
      <c r="E15" s="165">
        <f>Glassdoor!M14</f>
        <v>5750</v>
      </c>
      <c r="F15" s="165">
        <f>Leme!M14</f>
        <v>0</v>
      </c>
      <c r="G15" s="165">
        <f>Catho!N14</f>
        <v>0</v>
      </c>
      <c r="H15" s="165">
        <f>Aneel!N14</f>
        <v>0</v>
      </c>
      <c r="I15" s="165">
        <f>CJF!M14</f>
        <v>6633.9</v>
      </c>
      <c r="J15" s="165">
        <f>'FAR '!M14</f>
        <v>0</v>
      </c>
      <c r="K15" s="165">
        <f>'INI '!N14</f>
        <v>0</v>
      </c>
      <c r="L15" s="165">
        <f>'COGIC '!M15</f>
        <v>0</v>
      </c>
      <c r="M15" s="165">
        <f>'INCQS '!M14</f>
        <v>0</v>
      </c>
      <c r="N15" s="165">
        <f>'COC '!M14</f>
        <v>0</v>
      </c>
      <c r="O15" s="165">
        <f>'IFF '!M14</f>
        <v>0</v>
      </c>
      <c r="P15" s="165">
        <f>'BIO '!M14</f>
        <v>0</v>
      </c>
      <c r="Q15" s="165">
        <f>POLI!N14</f>
        <v>0</v>
      </c>
      <c r="R15" s="166">
        <v>5450.1268685001596</v>
      </c>
      <c r="S15" s="167">
        <f t="shared" si="0"/>
        <v>40007.215330038627</v>
      </c>
      <c r="T15" s="137">
        <f t="shared" si="1"/>
        <v>6</v>
      </c>
      <c r="U15" s="173">
        <f t="shared" si="2"/>
        <v>6667.8692216731042</v>
      </c>
      <c r="V15" s="175">
        <v>5450.1268685001596</v>
      </c>
      <c r="W15" s="20">
        <f t="shared" si="3"/>
        <v>-1217.7423531729446</v>
      </c>
      <c r="X15" s="155">
        <f t="shared" si="4"/>
        <v>-0.18262840986965068</v>
      </c>
      <c r="Y15" s="135">
        <f>STDEVA(B15,C15,D15,E15,I15,R15)</f>
        <v>1944.0075304051579</v>
      </c>
      <c r="Z15" s="143">
        <f t="shared" si="5"/>
        <v>0.2915485390874788</v>
      </c>
      <c r="AA15" s="190">
        <v>5899.3090660077232</v>
      </c>
      <c r="AB15" s="188">
        <f>V15-AA15</f>
        <v>-449.18219750756361</v>
      </c>
      <c r="AC15" s="189">
        <f>(V15/AA15)-1</f>
        <v>-7.6141492585256487E-2</v>
      </c>
      <c r="AD15" s="184">
        <v>0.09</v>
      </c>
    </row>
    <row r="16" spans="1:30" ht="38.25" customHeight="1" x14ac:dyDescent="0.25">
      <c r="A16" s="17" t="s">
        <v>57</v>
      </c>
      <c r="B16" s="183">
        <f>Salario.com!M15</f>
        <v>5092.3282051282058</v>
      </c>
      <c r="C16" s="165">
        <f>'Trabalha Brasil'!M15</f>
        <v>5013.6099999999997</v>
      </c>
      <c r="D16" s="165">
        <f>'Cargos.com'!M15</f>
        <v>6209.28</v>
      </c>
      <c r="E16" s="165">
        <f>Glassdoor!M15</f>
        <v>4750</v>
      </c>
      <c r="F16" s="165">
        <f>Leme!M15</f>
        <v>0</v>
      </c>
      <c r="G16" s="165">
        <f>Catho!N15</f>
        <v>0</v>
      </c>
      <c r="H16" s="165">
        <f>Aneel!N15</f>
        <v>0</v>
      </c>
      <c r="I16" s="165">
        <f>CJF!M15</f>
        <v>0</v>
      </c>
      <c r="J16" s="165">
        <f>'FAR '!M15</f>
        <v>0</v>
      </c>
      <c r="K16" s="165">
        <f>'INI '!N15</f>
        <v>0</v>
      </c>
      <c r="L16" s="165">
        <f>'COGIC '!M16</f>
        <v>0</v>
      </c>
      <c r="M16" s="165">
        <f>'INCQS '!M15</f>
        <v>0</v>
      </c>
      <c r="N16" s="165">
        <f>'COC '!M15</f>
        <v>0</v>
      </c>
      <c r="O16" s="165">
        <f>'IFF '!M15</f>
        <v>5558.77</v>
      </c>
      <c r="P16" s="165">
        <f>'BIO '!M15</f>
        <v>0</v>
      </c>
      <c r="Q16" s="165">
        <f>POLI!N15</f>
        <v>0</v>
      </c>
      <c r="R16" s="166">
        <v>5450.13</v>
      </c>
      <c r="S16" s="167">
        <f t="shared" si="0"/>
        <v>32074.118205128205</v>
      </c>
      <c r="T16" s="137">
        <f t="shared" si="1"/>
        <v>6</v>
      </c>
      <c r="U16" s="173">
        <f t="shared" si="2"/>
        <v>5345.6863675213672</v>
      </c>
      <c r="V16" s="175">
        <v>5450.13</v>
      </c>
      <c r="W16" s="20">
        <f t="shared" si="3"/>
        <v>104.44363247863294</v>
      </c>
      <c r="X16" s="154">
        <f t="shared" si="4"/>
        <v>1.9537927461139137E-2</v>
      </c>
      <c r="Y16" s="135">
        <f>STDEVA(B16,C16,D16,E16,O16,R16)</f>
        <v>516.02604384303856</v>
      </c>
      <c r="Z16" s="142">
        <f t="shared" si="5"/>
        <v>9.653129801595603E-2</v>
      </c>
      <c r="AA16" s="181"/>
      <c r="AB16" s="181"/>
      <c r="AC16" s="145"/>
      <c r="AD16" s="185"/>
    </row>
    <row r="17" spans="1:30" ht="38.25" customHeight="1" x14ac:dyDescent="0.25">
      <c r="A17" s="17" t="s">
        <v>59</v>
      </c>
      <c r="B17" s="183">
        <f>Salario.com!M16</f>
        <v>2868.5619047619048</v>
      </c>
      <c r="C17" s="165">
        <f>'Trabalha Brasil'!M16</f>
        <v>6447.51</v>
      </c>
      <c r="D17" s="165">
        <f>'Cargos.com'!M16</f>
        <v>3776.8899999999994</v>
      </c>
      <c r="E17" s="165">
        <f>Glassdoor!M16</f>
        <v>5500</v>
      </c>
      <c r="F17" s="165">
        <f>Leme!M16</f>
        <v>0</v>
      </c>
      <c r="G17" s="165">
        <f>Catho!N16</f>
        <v>0</v>
      </c>
      <c r="H17" s="165">
        <f>Aneel!N16</f>
        <v>0</v>
      </c>
      <c r="I17" s="165">
        <f>CJF!M16</f>
        <v>5699.6299999999992</v>
      </c>
      <c r="J17" s="165">
        <f>'FAR '!M16</f>
        <v>0</v>
      </c>
      <c r="K17" s="165">
        <f>'INI '!N16</f>
        <v>0</v>
      </c>
      <c r="L17" s="165">
        <f>'COGIC '!M17</f>
        <v>0</v>
      </c>
      <c r="M17" s="165">
        <f>'INCQS '!M16</f>
        <v>0</v>
      </c>
      <c r="N17" s="165">
        <f>'COC '!M16</f>
        <v>0</v>
      </c>
      <c r="O17" s="165">
        <f>'IFF '!M16</f>
        <v>0</v>
      </c>
      <c r="P17" s="165">
        <f>'BIO '!M16</f>
        <v>0</v>
      </c>
      <c r="Q17" s="165">
        <f>POLI!N16</f>
        <v>0</v>
      </c>
      <c r="R17" s="166">
        <v>6207.1564731791996</v>
      </c>
      <c r="S17" s="167">
        <f t="shared" si="0"/>
        <v>30499.748377941101</v>
      </c>
      <c r="T17" s="137">
        <f t="shared" si="1"/>
        <v>6</v>
      </c>
      <c r="U17" s="173">
        <f t="shared" si="2"/>
        <v>5083.2913963235169</v>
      </c>
      <c r="V17" s="175">
        <v>6207.1564731791996</v>
      </c>
      <c r="W17" s="20">
        <f t="shared" si="3"/>
        <v>1123.8650768556827</v>
      </c>
      <c r="X17" s="156">
        <f t="shared" si="4"/>
        <v>0.22109003581193809</v>
      </c>
      <c r="Y17" s="135">
        <f>STDEVA(B17,C17,D17,E17,I17,R17)</f>
        <v>1434.5309877072382</v>
      </c>
      <c r="Z17" s="143">
        <f t="shared" si="5"/>
        <v>0.28220514541911973</v>
      </c>
      <c r="AA17" s="175">
        <v>5526.2372946358391</v>
      </c>
      <c r="AB17" s="188">
        <f>V17-AA17</f>
        <v>680.91917854336043</v>
      </c>
      <c r="AC17" s="191">
        <f>(V17/AA17)-1</f>
        <v>0.12321569672809907</v>
      </c>
      <c r="AD17" s="184">
        <v>0.19</v>
      </c>
    </row>
    <row r="18" spans="1:30" ht="38.25" customHeight="1" x14ac:dyDescent="0.25">
      <c r="A18" s="17" t="s">
        <v>63</v>
      </c>
      <c r="B18" s="183">
        <f>Salario.com!M17</f>
        <v>5841.4761904761908</v>
      </c>
      <c r="C18" s="165">
        <f>'Trabalha Brasil'!M17</f>
        <v>5050.37</v>
      </c>
      <c r="D18" s="165">
        <f>'Cargos.com'!M17</f>
        <v>6974.89</v>
      </c>
      <c r="E18" s="165">
        <f>Glassdoor!M17</f>
        <v>5000</v>
      </c>
      <c r="F18" s="165">
        <f>Leme!M17</f>
        <v>0</v>
      </c>
      <c r="G18" s="165">
        <f>Catho!N17</f>
        <v>0</v>
      </c>
      <c r="H18" s="165">
        <f>Aneel!N17</f>
        <v>0</v>
      </c>
      <c r="I18" s="165">
        <f>CJF!M17</f>
        <v>0</v>
      </c>
      <c r="J18" s="165">
        <f>'FAR '!M17</f>
        <v>0</v>
      </c>
      <c r="K18" s="165">
        <f>'INI '!N17</f>
        <v>0</v>
      </c>
      <c r="L18" s="165">
        <f>'COGIC '!M18</f>
        <v>0</v>
      </c>
      <c r="M18" s="165">
        <f>'INCQS '!M17</f>
        <v>0</v>
      </c>
      <c r="N18" s="165">
        <f>'COC '!M17</f>
        <v>0</v>
      </c>
      <c r="O18" s="165">
        <f>'IFF '!M17</f>
        <v>0</v>
      </c>
      <c r="P18" s="165">
        <f>'BIO '!M17</f>
        <v>0</v>
      </c>
      <c r="Q18" s="165">
        <f>POLI!N17</f>
        <v>7075.0600000000013</v>
      </c>
      <c r="R18" s="166">
        <v>7509.4989830291206</v>
      </c>
      <c r="S18" s="167">
        <f t="shared" si="0"/>
        <v>37451.295173505314</v>
      </c>
      <c r="T18" s="137">
        <f t="shared" si="1"/>
        <v>6</v>
      </c>
      <c r="U18" s="173">
        <f t="shared" si="2"/>
        <v>6241.882528917552</v>
      </c>
      <c r="V18" s="175">
        <v>7509.4989830291206</v>
      </c>
      <c r="W18" s="20">
        <f t="shared" si="3"/>
        <v>1267.6164541115686</v>
      </c>
      <c r="X18" s="156">
        <f t="shared" si="4"/>
        <v>0.20308239513302651</v>
      </c>
      <c r="Y18" s="135">
        <f>STDEVA(B18,C18,D18,E18,Q18,R18)</f>
        <v>1091.8457476931972</v>
      </c>
      <c r="Z18" s="142">
        <f t="shared" si="5"/>
        <v>0.17492250817519658</v>
      </c>
      <c r="AA18" s="181"/>
      <c r="AB18" s="181"/>
      <c r="AC18" s="145"/>
      <c r="AD18" s="185"/>
    </row>
    <row r="19" spans="1:30" ht="38.25" customHeight="1" x14ac:dyDescent="0.25">
      <c r="A19" s="17" t="s">
        <v>65</v>
      </c>
      <c r="B19" s="183">
        <f>Salario.com!M18</f>
        <v>6810.5238095238101</v>
      </c>
      <c r="C19" s="165">
        <f>'Trabalha Brasil'!M18</f>
        <v>5807.93</v>
      </c>
      <c r="D19" s="165">
        <f>'Cargos.com'!M18</f>
        <v>7711.5450000000001</v>
      </c>
      <c r="E19" s="165">
        <f>Glassdoor!M18</f>
        <v>5500</v>
      </c>
      <c r="F19" s="165">
        <f>Leme!M18</f>
        <v>0</v>
      </c>
      <c r="G19" s="165">
        <f>Catho!N18</f>
        <v>0</v>
      </c>
      <c r="H19" s="165">
        <f>Aneel!N18</f>
        <v>0</v>
      </c>
      <c r="I19" s="165">
        <f>CJF!M18</f>
        <v>0</v>
      </c>
      <c r="J19" s="165">
        <f>'FAR '!M18</f>
        <v>0</v>
      </c>
      <c r="K19" s="165">
        <f>'INI '!N18</f>
        <v>0</v>
      </c>
      <c r="L19" s="165">
        <f>'COGIC '!M19</f>
        <v>0</v>
      </c>
      <c r="M19" s="165">
        <f>'INCQS '!M18</f>
        <v>0</v>
      </c>
      <c r="N19" s="165">
        <f>'COC '!M18</f>
        <v>0</v>
      </c>
      <c r="O19" s="165">
        <f>'IFF '!M18</f>
        <v>0</v>
      </c>
      <c r="P19" s="165">
        <f>'BIO '!M18</f>
        <v>0</v>
      </c>
      <c r="Q19" s="165">
        <f>POLI!N18</f>
        <v>0</v>
      </c>
      <c r="R19" s="166">
        <v>8208.7108768649596</v>
      </c>
      <c r="S19" s="167">
        <f t="shared" si="0"/>
        <v>34038.709686388771</v>
      </c>
      <c r="T19" s="137">
        <f t="shared" si="1"/>
        <v>5</v>
      </c>
      <c r="U19" s="173">
        <f t="shared" si="2"/>
        <v>6807.741937277754</v>
      </c>
      <c r="V19" s="175">
        <v>8208.7108768649596</v>
      </c>
      <c r="W19" s="20">
        <f t="shared" si="3"/>
        <v>1400.9689395872056</v>
      </c>
      <c r="X19" s="156">
        <f t="shared" si="4"/>
        <v>0.20579054736428781</v>
      </c>
      <c r="Y19" s="135">
        <f>STDEVA(B19,C19,D19,E19,R19)</f>
        <v>1171.4728517047934</v>
      </c>
      <c r="Z19" s="142">
        <f t="shared" si="5"/>
        <v>0.17207950337982936</v>
      </c>
      <c r="AA19" s="181"/>
      <c r="AB19" s="181"/>
      <c r="AC19" s="145"/>
      <c r="AD19" s="185"/>
    </row>
    <row r="20" spans="1:30" ht="38.25" customHeight="1" x14ac:dyDescent="0.25">
      <c r="A20" s="17" t="s">
        <v>66</v>
      </c>
      <c r="B20" s="183">
        <f>Salario.com!M19</f>
        <v>7194.6971428571433</v>
      </c>
      <c r="C20" s="165">
        <f>'Trabalha Brasil'!M19</f>
        <v>5636.0400000000009</v>
      </c>
      <c r="D20" s="165">
        <f>'Cargos.com'!M19</f>
        <v>8552.1899999999987</v>
      </c>
      <c r="E20" s="165">
        <f>Glassdoor!M19</f>
        <v>9875</v>
      </c>
      <c r="F20" s="165">
        <f>Leme!M19</f>
        <v>0</v>
      </c>
      <c r="G20" s="165">
        <f>Catho!N19</f>
        <v>0</v>
      </c>
      <c r="H20" s="165">
        <f>Aneel!N19</f>
        <v>0</v>
      </c>
      <c r="I20" s="165">
        <f>CJF!M19</f>
        <v>0</v>
      </c>
      <c r="J20" s="165">
        <f>'FAR '!M19</f>
        <v>0</v>
      </c>
      <c r="K20" s="165">
        <f>'INI '!N19</f>
        <v>0</v>
      </c>
      <c r="L20" s="165">
        <f>'COGIC '!M20</f>
        <v>0</v>
      </c>
      <c r="M20" s="165">
        <f>'INCQS '!M19</f>
        <v>0</v>
      </c>
      <c r="N20" s="165">
        <f>'COC '!M19</f>
        <v>0</v>
      </c>
      <c r="O20" s="165">
        <f>'IFF '!M19</f>
        <v>7048.27</v>
      </c>
      <c r="P20" s="165">
        <f>'BIO '!M19</f>
        <v>0</v>
      </c>
      <c r="Q20" s="165">
        <f>POLI!N19</f>
        <v>0</v>
      </c>
      <c r="R20" s="166">
        <v>10442.711883887359</v>
      </c>
      <c r="S20" s="167">
        <f t="shared" si="0"/>
        <v>48748.909026744499</v>
      </c>
      <c r="T20" s="137">
        <f t="shared" si="1"/>
        <v>6</v>
      </c>
      <c r="U20" s="173">
        <f t="shared" si="2"/>
        <v>8124.8181711240832</v>
      </c>
      <c r="V20" s="175">
        <v>10442.711883887359</v>
      </c>
      <c r="W20" s="20">
        <f t="shared" si="3"/>
        <v>2317.8937127632762</v>
      </c>
      <c r="X20" s="156">
        <f t="shared" si="4"/>
        <v>0.28528561057540469</v>
      </c>
      <c r="Y20" s="135">
        <f>STDEVA(B20,C20,D20,E20,O20,R20)</f>
        <v>1835.021103690658</v>
      </c>
      <c r="Z20" s="142">
        <f t="shared" si="5"/>
        <v>0.22585380559190774</v>
      </c>
      <c r="AA20" s="181"/>
      <c r="AB20" s="181"/>
      <c r="AC20" s="145"/>
      <c r="AD20" s="185"/>
    </row>
    <row r="21" spans="1:30" ht="38.25" customHeight="1" x14ac:dyDescent="0.25">
      <c r="A21" s="17" t="s">
        <v>68</v>
      </c>
      <c r="B21" s="183">
        <f>Salario.com!M20</f>
        <v>9909.0499999999993</v>
      </c>
      <c r="C21" s="165">
        <f>'Trabalha Brasil'!M20</f>
        <v>10757.98</v>
      </c>
      <c r="D21" s="165">
        <f>'Cargos.com'!M20</f>
        <v>8963.35</v>
      </c>
      <c r="E21" s="165">
        <f>Glassdoor!M20</f>
        <v>12000</v>
      </c>
      <c r="F21" s="165">
        <f>Leme!M20</f>
        <v>10715</v>
      </c>
      <c r="G21" s="165">
        <f>Catho!N20</f>
        <v>12500</v>
      </c>
      <c r="H21" s="165">
        <f>Aneel!N20</f>
        <v>0</v>
      </c>
      <c r="I21" s="165">
        <f>CJF!M20</f>
        <v>0</v>
      </c>
      <c r="J21" s="165">
        <f>'FAR '!M20</f>
        <v>10397.14</v>
      </c>
      <c r="K21" s="165">
        <f>'INI '!N20</f>
        <v>0</v>
      </c>
      <c r="L21" s="165">
        <f>'COGIC '!M21</f>
        <v>0</v>
      </c>
      <c r="M21" s="165">
        <f>'INCQS '!M20</f>
        <v>0</v>
      </c>
      <c r="N21" s="165">
        <f>'COC '!M20</f>
        <v>0</v>
      </c>
      <c r="O21" s="165">
        <f>'IFF '!M20</f>
        <v>0</v>
      </c>
      <c r="P21" s="165">
        <f>'BIO '!M20</f>
        <v>10817.37</v>
      </c>
      <c r="Q21" s="165">
        <f>POLI!N20</f>
        <v>0</v>
      </c>
      <c r="R21" s="168">
        <v>0</v>
      </c>
      <c r="S21" s="167">
        <f t="shared" si="0"/>
        <v>86059.889999999985</v>
      </c>
      <c r="T21" s="137">
        <f t="shared" si="1"/>
        <v>8</v>
      </c>
      <c r="U21" s="173">
        <f t="shared" si="2"/>
        <v>10757.486249999998</v>
      </c>
      <c r="V21" s="177">
        <v>10757.486249999998</v>
      </c>
      <c r="W21" s="20">
        <f t="shared" si="3"/>
        <v>0</v>
      </c>
      <c r="X21" s="154">
        <f t="shared" si="4"/>
        <v>0</v>
      </c>
      <c r="Y21" s="135">
        <f>STDEVA(B21,C21,D21,E21,F21,G21,J21,P21)</f>
        <v>1111.8969858751368</v>
      </c>
      <c r="Z21" s="142">
        <f t="shared" si="5"/>
        <v>0.10336029812495805</v>
      </c>
      <c r="AA21" s="181"/>
      <c r="AB21" s="181"/>
      <c r="AC21" s="145"/>
      <c r="AD21" s="185"/>
    </row>
    <row r="22" spans="1:30" ht="38.25" customHeight="1" x14ac:dyDescent="0.25">
      <c r="A22" s="17" t="s">
        <v>71</v>
      </c>
      <c r="B22" s="183">
        <f>Salario.com!M21</f>
        <v>3039.54</v>
      </c>
      <c r="C22" s="165">
        <f>'Trabalha Brasil'!M21</f>
        <v>3138.54</v>
      </c>
      <c r="D22" s="165">
        <f>'Cargos.com'!M21</f>
        <v>2050.5500000000002</v>
      </c>
      <c r="E22" s="165">
        <f>Glassdoor!M21</f>
        <v>1750</v>
      </c>
      <c r="F22" s="165">
        <f>Leme!M21</f>
        <v>0</v>
      </c>
      <c r="G22" s="165">
        <f>Catho!N21</f>
        <v>0</v>
      </c>
      <c r="H22" s="165">
        <f>Aneel!N21</f>
        <v>0</v>
      </c>
      <c r="I22" s="165">
        <f>CJF!M21</f>
        <v>0</v>
      </c>
      <c r="J22" s="165">
        <f>'FAR '!M21</f>
        <v>2455.08</v>
      </c>
      <c r="K22" s="165">
        <f>'INI '!N21</f>
        <v>0</v>
      </c>
      <c r="L22" s="165">
        <f>'COGIC '!M22</f>
        <v>0</v>
      </c>
      <c r="M22" s="165">
        <f>'INCQS '!M21</f>
        <v>0</v>
      </c>
      <c r="N22" s="165">
        <f>'COC '!M21</f>
        <v>0</v>
      </c>
      <c r="O22" s="165">
        <f>'IFF '!M21</f>
        <v>0</v>
      </c>
      <c r="P22" s="165">
        <f>'BIO '!M21</f>
        <v>2549.7800000000002</v>
      </c>
      <c r="Q22" s="165">
        <f>POLI!N21</f>
        <v>0</v>
      </c>
      <c r="R22" s="166">
        <v>2340.6941919999999</v>
      </c>
      <c r="S22" s="167">
        <f t="shared" si="0"/>
        <v>17324.184192000001</v>
      </c>
      <c r="T22" s="137">
        <f t="shared" si="1"/>
        <v>7</v>
      </c>
      <c r="U22" s="173">
        <f t="shared" si="2"/>
        <v>2474.883456</v>
      </c>
      <c r="V22" s="175">
        <v>2340.6941919999999</v>
      </c>
      <c r="W22" s="20">
        <f t="shared" si="3"/>
        <v>-134.18926400000009</v>
      </c>
      <c r="X22" s="154">
        <f t="shared" si="4"/>
        <v>-5.4220437602699012E-2</v>
      </c>
      <c r="Y22" s="135">
        <f>STDEVA(B22,C22,D22,E22,J22,P22,R22)</f>
        <v>498.12989528920394</v>
      </c>
      <c r="Z22" s="142">
        <f t="shared" si="5"/>
        <v>0.20127408184880766</v>
      </c>
      <c r="AA22" s="181"/>
      <c r="AB22" s="181"/>
      <c r="AC22" s="145"/>
      <c r="AD22" s="185"/>
    </row>
    <row r="23" spans="1:30" ht="38.25" customHeight="1" x14ac:dyDescent="0.25">
      <c r="A23" s="17" t="s">
        <v>74</v>
      </c>
      <c r="B23" s="183">
        <f>Salario.com!M22</f>
        <v>3662.1523809523815</v>
      </c>
      <c r="C23" s="165">
        <f>'Trabalha Brasil'!M22</f>
        <v>3609.32</v>
      </c>
      <c r="D23" s="165">
        <f>'Cargos.com'!M22</f>
        <v>4274.16</v>
      </c>
      <c r="E23" s="165">
        <f>Glassdoor!M22</f>
        <v>3250</v>
      </c>
      <c r="F23" s="165">
        <f>Leme!M22</f>
        <v>0</v>
      </c>
      <c r="G23" s="165">
        <f>Catho!N22</f>
        <v>1750</v>
      </c>
      <c r="H23" s="165">
        <f>Aneel!N22</f>
        <v>0</v>
      </c>
      <c r="I23" s="165">
        <f>CJF!M22</f>
        <v>0</v>
      </c>
      <c r="J23" s="165">
        <f>'FAR '!M22</f>
        <v>0</v>
      </c>
      <c r="K23" s="165">
        <f>'INI '!N22</f>
        <v>2805.1400000000003</v>
      </c>
      <c r="L23" s="165">
        <f>'COGIC '!M23</f>
        <v>0</v>
      </c>
      <c r="M23" s="165">
        <f>'INCQS '!M22</f>
        <v>0</v>
      </c>
      <c r="N23" s="165">
        <f>'COC '!M22</f>
        <v>0</v>
      </c>
      <c r="O23" s="165">
        <f>'IFF '!M22</f>
        <v>0</v>
      </c>
      <c r="P23" s="165">
        <f>'BIO '!M22</f>
        <v>5482.39</v>
      </c>
      <c r="Q23" s="165">
        <f>POLI!N22</f>
        <v>0</v>
      </c>
      <c r="R23" s="166">
        <v>3604.8115582617602</v>
      </c>
      <c r="S23" s="167">
        <f t="shared" si="0"/>
        <v>28437.973939214142</v>
      </c>
      <c r="T23" s="137">
        <f t="shared" si="1"/>
        <v>8</v>
      </c>
      <c r="U23" s="173">
        <f t="shared" si="2"/>
        <v>3554.7467424017677</v>
      </c>
      <c r="V23" s="175">
        <v>3604.8115582617602</v>
      </c>
      <c r="W23" s="20">
        <f t="shared" si="3"/>
        <v>50.06481585999245</v>
      </c>
      <c r="X23" s="154">
        <f t="shared" si="4"/>
        <v>1.4083933255443659E-2</v>
      </c>
      <c r="Y23" s="135">
        <f>STDEVA(B23,C23,D23,E23,G23,K23,P23,R23)</f>
        <v>1079.8330764299342</v>
      </c>
      <c r="Z23" s="143">
        <f t="shared" si="5"/>
        <v>0.30377215444055627</v>
      </c>
      <c r="AA23" s="190">
        <v>3812.5677056020204</v>
      </c>
      <c r="AB23" s="188">
        <f>V23-AA23</f>
        <v>-207.75614734026021</v>
      </c>
      <c r="AC23" s="192">
        <f>(V23/AA23)-1</f>
        <v>-5.4492447972790736E-2</v>
      </c>
      <c r="AD23" s="184">
        <v>0.23</v>
      </c>
    </row>
    <row r="24" spans="1:30" ht="38.25" customHeight="1" x14ac:dyDescent="0.25">
      <c r="A24" s="17" t="s">
        <v>77</v>
      </c>
      <c r="B24" s="183">
        <f>Salario.com!M23</f>
        <v>967.83783783783792</v>
      </c>
      <c r="C24" s="165">
        <f>'Trabalha Brasil'!M23</f>
        <v>1183.9649999999999</v>
      </c>
      <c r="D24" s="165">
        <f>'Cargos.com'!M23</f>
        <v>737.84999999999991</v>
      </c>
      <c r="E24" s="165">
        <f>Glassdoor!M23</f>
        <v>0</v>
      </c>
      <c r="F24" s="165">
        <f>Leme!M23</f>
        <v>1774.5</v>
      </c>
      <c r="G24" s="165">
        <f>Catho!N23</f>
        <v>0</v>
      </c>
      <c r="H24" s="165">
        <f>Aneel!N23</f>
        <v>0</v>
      </c>
      <c r="I24" s="165">
        <f>CJF!M23</f>
        <v>0</v>
      </c>
      <c r="J24" s="165">
        <f>'FAR '!M23</f>
        <v>0</v>
      </c>
      <c r="K24" s="165">
        <f>'INI '!N23</f>
        <v>0</v>
      </c>
      <c r="L24" s="165">
        <f>'COGIC '!M24</f>
        <v>0</v>
      </c>
      <c r="M24" s="165">
        <f>'INCQS '!M23</f>
        <v>0</v>
      </c>
      <c r="N24" s="165">
        <f>'COC '!M23</f>
        <v>0</v>
      </c>
      <c r="O24" s="165">
        <f>'IFF '!M23</f>
        <v>0</v>
      </c>
      <c r="P24" s="165">
        <f>'BIO '!M23</f>
        <v>0</v>
      </c>
      <c r="Q24" s="165">
        <f>POLI!N23</f>
        <v>0</v>
      </c>
      <c r="R24" s="166">
        <v>1830.6685714285716</v>
      </c>
      <c r="S24" s="167">
        <f t="shared" si="0"/>
        <v>6494.8214092664084</v>
      </c>
      <c r="T24" s="137">
        <f t="shared" si="1"/>
        <v>5</v>
      </c>
      <c r="U24" s="173">
        <f t="shared" si="2"/>
        <v>1298.9642818532816</v>
      </c>
      <c r="V24" s="178">
        <v>1830.6685714285716</v>
      </c>
      <c r="W24" s="20">
        <f t="shared" si="3"/>
        <v>531.70428957528998</v>
      </c>
      <c r="X24" s="156">
        <f t="shared" si="4"/>
        <v>0.40932941498336461</v>
      </c>
      <c r="Y24" s="135">
        <f>STDEVA(B24,C24,D24,F24,R24)</f>
        <v>486.45720902225526</v>
      </c>
      <c r="Z24" s="143">
        <f t="shared" si="5"/>
        <v>0.374496216576647</v>
      </c>
      <c r="AA24" s="178">
        <v>1596.3778571428572</v>
      </c>
      <c r="AB24" s="188">
        <f>V24-AA24</f>
        <v>234.29071428571433</v>
      </c>
      <c r="AC24" s="191">
        <f>(V24/AA24)-1</f>
        <v>0.14676394641619495</v>
      </c>
      <c r="AD24" s="184">
        <v>0.22</v>
      </c>
    </row>
    <row r="25" spans="1:30" ht="38.25" customHeight="1" x14ac:dyDescent="0.25">
      <c r="A25" s="17" t="s">
        <v>81</v>
      </c>
      <c r="B25" s="183">
        <f>Salario.com!M24</f>
        <v>1935.6756756756758</v>
      </c>
      <c r="C25" s="165">
        <f>'Trabalha Brasil'!M24</f>
        <v>2367.9299999999998</v>
      </c>
      <c r="D25" s="165">
        <f>'Cargos.com'!M24</f>
        <v>1475.6999999999998</v>
      </c>
      <c r="E25" s="165">
        <f>Glassdoor!M24</f>
        <v>1461</v>
      </c>
      <c r="F25" s="165">
        <f>Leme!M24</f>
        <v>0</v>
      </c>
      <c r="G25" s="165">
        <f>Catho!N24</f>
        <v>2250</v>
      </c>
      <c r="H25" s="165">
        <f>Aneel!N24</f>
        <v>0</v>
      </c>
      <c r="I25" s="165">
        <f>CJF!M24</f>
        <v>0</v>
      </c>
      <c r="J25" s="165">
        <f>'FAR '!M24</f>
        <v>0</v>
      </c>
      <c r="K25" s="165">
        <f>'INI '!N24</f>
        <v>2805.1400000000003</v>
      </c>
      <c r="L25" s="165">
        <f>'COGIC '!M25</f>
        <v>0</v>
      </c>
      <c r="M25" s="165">
        <f>'INCQS '!M24</f>
        <v>0</v>
      </c>
      <c r="N25" s="165">
        <f>'COC '!M24</f>
        <v>0</v>
      </c>
      <c r="O25" s="165">
        <f>'IFF '!M24</f>
        <v>0</v>
      </c>
      <c r="P25" s="165">
        <f>'BIO '!M24</f>
        <v>0</v>
      </c>
      <c r="Q25" s="165">
        <f>POLI!N24</f>
        <v>0</v>
      </c>
      <c r="R25" s="168">
        <v>0</v>
      </c>
      <c r="S25" s="167">
        <f t="shared" si="0"/>
        <v>12295.445675675674</v>
      </c>
      <c r="T25" s="137">
        <f t="shared" si="1"/>
        <v>6</v>
      </c>
      <c r="U25" s="173">
        <f t="shared" si="2"/>
        <v>2049.2409459459454</v>
      </c>
      <c r="V25" s="177">
        <f>U25</f>
        <v>2049.2409459459454</v>
      </c>
      <c r="W25" s="20">
        <f t="shared" si="3"/>
        <v>0</v>
      </c>
      <c r="X25" s="157">
        <f t="shared" si="4"/>
        <v>0</v>
      </c>
      <c r="Y25" s="135">
        <f>STDEVA(B25,C25,D25,E25,G25,K25)</f>
        <v>529.36263348556804</v>
      </c>
      <c r="Z25" s="143">
        <f t="shared" si="5"/>
        <v>0.25832132357730642</v>
      </c>
      <c r="AA25" s="178">
        <v>2166.89</v>
      </c>
      <c r="AB25" s="188">
        <f>V25-AA25</f>
        <v>-117.64905405405443</v>
      </c>
      <c r="AC25" s="192">
        <f>(V25/AA25)-1</f>
        <v>-5.4293966954508277E-2</v>
      </c>
      <c r="AD25" s="184">
        <v>0.23</v>
      </c>
    </row>
    <row r="26" spans="1:30" ht="38.25" customHeight="1" x14ac:dyDescent="0.25">
      <c r="A26" s="17" t="s">
        <v>85</v>
      </c>
      <c r="B26" s="183">
        <f>Salario.com!M25</f>
        <v>2617.5027027027027</v>
      </c>
      <c r="C26" s="165">
        <f>'Trabalha Brasil'!M25</f>
        <v>3601.33</v>
      </c>
      <c r="D26" s="165">
        <f>'Cargos.com'!M25</f>
        <v>2209.09</v>
      </c>
      <c r="E26" s="165">
        <f>Glassdoor!M25</f>
        <v>2382</v>
      </c>
      <c r="F26" s="165">
        <f>Leme!M25</f>
        <v>3549</v>
      </c>
      <c r="G26" s="165">
        <f>Catho!N25</f>
        <v>2750</v>
      </c>
      <c r="H26" s="165">
        <f>Aneel!N25</f>
        <v>0</v>
      </c>
      <c r="I26" s="165">
        <f>CJF!M25</f>
        <v>0</v>
      </c>
      <c r="J26" s="165">
        <f>'FAR '!M25</f>
        <v>0</v>
      </c>
      <c r="K26" s="165">
        <f>'INI '!N25</f>
        <v>0</v>
      </c>
      <c r="L26" s="165">
        <f>'COGIC '!M26</f>
        <v>0</v>
      </c>
      <c r="M26" s="165">
        <f>'INCQS '!M25</f>
        <v>0</v>
      </c>
      <c r="N26" s="165">
        <f>'COC '!M25</f>
        <v>0</v>
      </c>
      <c r="O26" s="165">
        <f>'IFF '!M25</f>
        <v>0</v>
      </c>
      <c r="P26" s="165">
        <f>'BIO '!M25</f>
        <v>0</v>
      </c>
      <c r="Q26" s="165">
        <f>POLI!N25</f>
        <v>0</v>
      </c>
      <c r="R26" s="168">
        <v>3604.8115582617602</v>
      </c>
      <c r="S26" s="167">
        <f t="shared" si="0"/>
        <v>20713.734260964462</v>
      </c>
      <c r="T26" s="137">
        <f t="shared" si="1"/>
        <v>7</v>
      </c>
      <c r="U26" s="173">
        <f t="shared" si="2"/>
        <v>2959.1048944234944</v>
      </c>
      <c r="V26" s="177">
        <v>3604.8115582617602</v>
      </c>
      <c r="W26" s="20">
        <f t="shared" si="3"/>
        <v>645.70666383826574</v>
      </c>
      <c r="X26" s="156">
        <f t="shared" si="4"/>
        <v>0.21821013004814938</v>
      </c>
      <c r="Y26" s="135">
        <f>STDEVA(B26,C26,D26,E26,F26,G26,R26)</f>
        <v>610.10323345397387</v>
      </c>
      <c r="Z26" s="142">
        <f t="shared" si="5"/>
        <v>0.20617830567741222</v>
      </c>
      <c r="AA26" s="181"/>
      <c r="AB26" s="181"/>
      <c r="AC26" s="145"/>
      <c r="AD26" s="185"/>
    </row>
    <row r="27" spans="1:30" ht="38.25" customHeight="1" x14ac:dyDescent="0.25">
      <c r="A27" s="17" t="s">
        <v>88</v>
      </c>
      <c r="B27" s="183">
        <f>Salario.com!M26</f>
        <v>2917.9282051282053</v>
      </c>
      <c r="C27" s="165">
        <f>'Trabalha Brasil'!M26</f>
        <v>4657.99</v>
      </c>
      <c r="D27" s="165">
        <f>'Cargos.com'!M26</f>
        <v>2510.79</v>
      </c>
      <c r="E27" s="165">
        <f>Glassdoor!M26</f>
        <v>4000</v>
      </c>
      <c r="F27" s="165">
        <f>Leme!M26</f>
        <v>0</v>
      </c>
      <c r="G27" s="165">
        <f>Catho!N26</f>
        <v>0</v>
      </c>
      <c r="H27" s="165">
        <f>Aneel!N26</f>
        <v>0</v>
      </c>
      <c r="I27" s="165">
        <f>CJF!M26</f>
        <v>0</v>
      </c>
      <c r="J27" s="165">
        <f>'FAR '!M26</f>
        <v>0</v>
      </c>
      <c r="K27" s="165">
        <f>'INI '!N26</f>
        <v>0</v>
      </c>
      <c r="L27" s="165">
        <f>'COGIC '!M27</f>
        <v>0</v>
      </c>
      <c r="M27" s="165">
        <f>'INCQS '!M26</f>
        <v>0</v>
      </c>
      <c r="N27" s="165">
        <f>'COC '!M26</f>
        <v>0</v>
      </c>
      <c r="O27" s="165">
        <f>'IFF '!M26</f>
        <v>0</v>
      </c>
      <c r="P27" s="165">
        <f>'BIO '!M26</f>
        <v>5482.39</v>
      </c>
      <c r="Q27" s="165">
        <f>POLI!N26</f>
        <v>0</v>
      </c>
      <c r="R27" s="166">
        <v>3604.8115582617602</v>
      </c>
      <c r="S27" s="167">
        <f t="shared" si="0"/>
        <v>23173.909763389966</v>
      </c>
      <c r="T27" s="137">
        <f t="shared" si="1"/>
        <v>6</v>
      </c>
      <c r="U27" s="173">
        <f t="shared" si="2"/>
        <v>3862.3182938983277</v>
      </c>
      <c r="V27" s="175">
        <v>3604.8115582617602</v>
      </c>
      <c r="W27" s="20">
        <f t="shared" si="3"/>
        <v>-257.50673563656756</v>
      </c>
      <c r="X27" s="154">
        <f t="shared" si="4"/>
        <v>-6.6671546993777198E-2</v>
      </c>
      <c r="Y27" s="135">
        <f>STDEVA(B27,C27,D27,E27,R27)</f>
        <v>853.21954053114837</v>
      </c>
      <c r="Z27" s="142">
        <f t="shared" si="5"/>
        <v>0.22090865527034906</v>
      </c>
      <c r="AA27" s="181"/>
      <c r="AB27" s="181"/>
      <c r="AC27" s="145"/>
      <c r="AD27" s="185"/>
    </row>
    <row r="28" spans="1:30" ht="38.25" customHeight="1" x14ac:dyDescent="0.25">
      <c r="A28" s="17" t="s">
        <v>90</v>
      </c>
      <c r="B28" s="183">
        <f>Salario.com!M27</f>
        <v>4159.6838709677422</v>
      </c>
      <c r="C28" s="165">
        <f>'Trabalha Brasil'!M27</f>
        <v>3543.2474999999999</v>
      </c>
      <c r="D28" s="165">
        <f>'Cargos.com'!M27</f>
        <v>3808.5150000000003</v>
      </c>
      <c r="E28" s="165">
        <f>Glassdoor!M27</f>
        <v>4500</v>
      </c>
      <c r="F28" s="165">
        <f>Leme!M27</f>
        <v>3690</v>
      </c>
      <c r="G28" s="165">
        <f>Catho!N27</f>
        <v>3750</v>
      </c>
      <c r="H28" s="165">
        <f>Aneel!N27</f>
        <v>0</v>
      </c>
      <c r="I28" s="165">
        <f>CJF!M27</f>
        <v>0</v>
      </c>
      <c r="J28" s="165">
        <f>'FAR '!M27</f>
        <v>5915.13</v>
      </c>
      <c r="K28" s="165">
        <f>'INI '!N27</f>
        <v>3370.8599999999997</v>
      </c>
      <c r="L28" s="165">
        <f>'COGIC '!M28</f>
        <v>0</v>
      </c>
      <c r="M28" s="165">
        <f>'INCQS '!M27</f>
        <v>0</v>
      </c>
      <c r="N28" s="165">
        <f>'COC '!M27</f>
        <v>0</v>
      </c>
      <c r="O28" s="165">
        <f>'IFF '!M27</f>
        <v>0</v>
      </c>
      <c r="P28" s="165">
        <f>'BIO '!M27</f>
        <v>0</v>
      </c>
      <c r="Q28" s="165">
        <f>POLI!N27</f>
        <v>0</v>
      </c>
      <c r="R28" s="166">
        <v>4317.0823782979196</v>
      </c>
      <c r="S28" s="167">
        <f t="shared" si="0"/>
        <v>37054.518749265662</v>
      </c>
      <c r="T28" s="137">
        <f t="shared" si="1"/>
        <v>9</v>
      </c>
      <c r="U28" s="173">
        <f t="shared" si="2"/>
        <v>4117.1687499184072</v>
      </c>
      <c r="V28" s="175">
        <v>4317.0823782979196</v>
      </c>
      <c r="W28" s="20">
        <f t="shared" si="3"/>
        <v>199.91362837951237</v>
      </c>
      <c r="X28" s="154">
        <f t="shared" si="4"/>
        <v>4.8556092917851457E-2</v>
      </c>
      <c r="Y28" s="135">
        <f>STDEVA(B28,C28,D28,E28,F28,G28,J28,K28,R28)</f>
        <v>768.10749065793038</v>
      </c>
      <c r="Z28" s="142">
        <f t="shared" si="5"/>
        <v>0.18656206177440565</v>
      </c>
      <c r="AA28" s="181"/>
      <c r="AB28" s="181"/>
      <c r="AC28" s="145"/>
      <c r="AD28" s="185"/>
    </row>
    <row r="29" spans="1:30" ht="38.25" customHeight="1" x14ac:dyDescent="0.25">
      <c r="A29" s="17" t="s">
        <v>93</v>
      </c>
      <c r="B29" s="183">
        <f>Salario.com!M28</f>
        <v>4570</v>
      </c>
      <c r="C29" s="165">
        <f>'Trabalha Brasil'!M28</f>
        <v>4551.78</v>
      </c>
      <c r="D29" s="165">
        <f>'Cargos.com'!M28</f>
        <v>4020.77</v>
      </c>
      <c r="E29" s="165">
        <f>Glassdoor!M28</f>
        <v>4500</v>
      </c>
      <c r="F29" s="165">
        <f>Leme!M28</f>
        <v>5306</v>
      </c>
      <c r="G29" s="165">
        <f>Catho!N28</f>
        <v>0</v>
      </c>
      <c r="H29" s="165">
        <f>Aneel!N28</f>
        <v>0</v>
      </c>
      <c r="I29" s="165">
        <f>CJF!M28</f>
        <v>0</v>
      </c>
      <c r="J29" s="165">
        <f>'FAR '!M28</f>
        <v>6648.34</v>
      </c>
      <c r="K29" s="165">
        <f>'INI '!N28</f>
        <v>4494.4799999999996</v>
      </c>
      <c r="L29" s="165">
        <f>'COGIC '!M29</f>
        <v>0</v>
      </c>
      <c r="M29" s="165">
        <f>'INCQS '!M28</f>
        <v>0</v>
      </c>
      <c r="N29" s="165">
        <f>'COC '!M28</f>
        <v>0</v>
      </c>
      <c r="O29" s="165">
        <f>'IFF '!M28</f>
        <v>0</v>
      </c>
      <c r="P29" s="165">
        <f>'BIO '!M28</f>
        <v>0</v>
      </c>
      <c r="Q29" s="165">
        <f>POLI!N28</f>
        <v>0</v>
      </c>
      <c r="R29" s="166">
        <v>4317.0823782979196</v>
      </c>
      <c r="S29" s="167">
        <f t="shared" si="0"/>
        <v>38408.452378297916</v>
      </c>
      <c r="T29" s="137">
        <f t="shared" si="1"/>
        <v>8</v>
      </c>
      <c r="U29" s="173">
        <f t="shared" si="2"/>
        <v>4801.0565472872395</v>
      </c>
      <c r="V29" s="175">
        <v>4317.0823782979196</v>
      </c>
      <c r="W29" s="20">
        <f t="shared" si="3"/>
        <v>-483.97416898931988</v>
      </c>
      <c r="X29" s="155">
        <f t="shared" si="4"/>
        <v>-0.10080576311120137</v>
      </c>
      <c r="Y29" s="135">
        <f>STDEVA(B29,C29,D29,E29,F29,J29,K29,R29)</f>
        <v>828.99700898246545</v>
      </c>
      <c r="Z29" s="142">
        <f t="shared" si="5"/>
        <v>0.17266970318249575</v>
      </c>
      <c r="AA29" s="181"/>
      <c r="AB29" s="181"/>
      <c r="AC29" s="145"/>
      <c r="AD29" s="185"/>
    </row>
    <row r="30" spans="1:30" ht="38.25" customHeight="1" x14ac:dyDescent="0.25">
      <c r="A30" s="17" t="s">
        <v>96</v>
      </c>
      <c r="B30" s="183">
        <f>Salario.com!M29</f>
        <v>5140.4390243902435</v>
      </c>
      <c r="C30" s="165">
        <f>'Trabalha Brasil'!M29</f>
        <v>6995.3899999999994</v>
      </c>
      <c r="D30" s="165">
        <f>'Cargos.com'!M29</f>
        <v>4234.1499999999996</v>
      </c>
      <c r="E30" s="165">
        <f>Glassdoor!M29</f>
        <v>4500</v>
      </c>
      <c r="F30" s="165">
        <f>Leme!M29</f>
        <v>6897</v>
      </c>
      <c r="G30" s="165">
        <f>Catho!N29</f>
        <v>3750</v>
      </c>
      <c r="H30" s="165">
        <f>Aneel!N29</f>
        <v>0</v>
      </c>
      <c r="I30" s="165">
        <f>CJF!M29</f>
        <v>0</v>
      </c>
      <c r="J30" s="165">
        <f>'FAR '!M29</f>
        <v>0</v>
      </c>
      <c r="K30" s="165">
        <f>'INI '!N29</f>
        <v>0</v>
      </c>
      <c r="L30" s="165">
        <f>'COGIC '!M30</f>
        <v>0</v>
      </c>
      <c r="M30" s="165">
        <f>'INCQS '!M29</f>
        <v>0</v>
      </c>
      <c r="N30" s="165">
        <f>'COC '!M29</f>
        <v>0</v>
      </c>
      <c r="O30" s="165">
        <f>'IFF '!M29</f>
        <v>0</v>
      </c>
      <c r="P30" s="165">
        <f>'BIO '!M29</f>
        <v>7649.17</v>
      </c>
      <c r="Q30" s="165">
        <f>POLI!N29</f>
        <v>0</v>
      </c>
      <c r="R30" s="166">
        <v>5450.1303359999993</v>
      </c>
      <c r="S30" s="167">
        <f t="shared" si="0"/>
        <v>44616.279360390246</v>
      </c>
      <c r="T30" s="137">
        <f t="shared" si="1"/>
        <v>8</v>
      </c>
      <c r="U30" s="173">
        <f t="shared" si="2"/>
        <v>5577.0349200487808</v>
      </c>
      <c r="V30" s="175">
        <v>5450.1303359999993</v>
      </c>
      <c r="W30" s="20">
        <f t="shared" si="3"/>
        <v>-126.90458404878154</v>
      </c>
      <c r="X30" s="154">
        <f t="shared" si="4"/>
        <v>-2.2754848385936111E-2</v>
      </c>
      <c r="Y30" s="135">
        <f>STDEVA(B30,C30,D30,E30,F30,G30,P30,R30)</f>
        <v>1442.0176445727222</v>
      </c>
      <c r="Z30" s="143">
        <f t="shared" si="5"/>
        <v>0.25856349570070636</v>
      </c>
      <c r="AA30" s="190">
        <v>5838.0399086271782</v>
      </c>
      <c r="AB30" s="188">
        <f>V30-AA30</f>
        <v>-387.90957262717893</v>
      </c>
      <c r="AC30" s="192">
        <f>(V30/AA30)-1</f>
        <v>-6.6445173157166137E-2</v>
      </c>
      <c r="AD30" s="186">
        <v>0.23</v>
      </c>
    </row>
    <row r="31" spans="1:30" ht="38.25" customHeight="1" x14ac:dyDescent="0.25">
      <c r="A31" s="17" t="s">
        <v>99</v>
      </c>
      <c r="B31" s="183">
        <f>Salario.com!M30</f>
        <v>5334.5317073170736</v>
      </c>
      <c r="C31" s="165">
        <f>'Trabalha Brasil'!M30</f>
        <v>8744.24</v>
      </c>
      <c r="D31" s="165">
        <f>'Cargos.com'!M30</f>
        <v>4681.34</v>
      </c>
      <c r="E31" s="165">
        <f>Glassdoor!M30</f>
        <v>4750</v>
      </c>
      <c r="F31" s="165">
        <f>Leme!M30</f>
        <v>7586.7000000000007</v>
      </c>
      <c r="G31" s="165">
        <f>Catho!N30</f>
        <v>3875</v>
      </c>
      <c r="H31" s="165">
        <f>Aneel!N30</f>
        <v>0</v>
      </c>
      <c r="I31" s="165">
        <f>CJF!M30</f>
        <v>0</v>
      </c>
      <c r="J31" s="165">
        <f>'FAR '!M30</f>
        <v>0</v>
      </c>
      <c r="K31" s="165">
        <f>'INI '!N30</f>
        <v>0</v>
      </c>
      <c r="L31" s="165">
        <f>'COGIC '!M31</f>
        <v>0</v>
      </c>
      <c r="M31" s="165">
        <f>'INCQS '!M30</f>
        <v>0</v>
      </c>
      <c r="N31" s="165">
        <f>'COC '!M30</f>
        <v>0</v>
      </c>
      <c r="O31" s="165">
        <f>'IFF '!M30</f>
        <v>0</v>
      </c>
      <c r="P31" s="165">
        <f>'BIO '!M30</f>
        <v>10728.35</v>
      </c>
      <c r="Q31" s="165">
        <f>POLI!N30</f>
        <v>0</v>
      </c>
      <c r="R31" s="166">
        <v>6022.82</v>
      </c>
      <c r="S31" s="167">
        <f t="shared" si="0"/>
        <v>51722.981707317071</v>
      </c>
      <c r="T31" s="137">
        <f t="shared" si="1"/>
        <v>8</v>
      </c>
      <c r="U31" s="173">
        <f t="shared" si="2"/>
        <v>6465.3727134146338</v>
      </c>
      <c r="V31" s="175">
        <v>6022.82</v>
      </c>
      <c r="W31" s="20">
        <f t="shared" si="3"/>
        <v>-442.55271341463413</v>
      </c>
      <c r="X31" s="154">
        <f t="shared" si="4"/>
        <v>-6.8449683108973258E-2</v>
      </c>
      <c r="Y31" s="135">
        <f>STDEVA(B31,C31,D31,E31,G31,P31,R31,F31)</f>
        <v>2358.3755816099701</v>
      </c>
      <c r="Z31" s="143">
        <f t="shared" si="5"/>
        <v>0.36477024390515195</v>
      </c>
      <c r="AA31" s="190">
        <v>5675.08</v>
      </c>
      <c r="AB31" s="188">
        <f>V31-AA31</f>
        <v>347.73999999999978</v>
      </c>
      <c r="AC31" s="192">
        <f>(V31/AA31)-1</f>
        <v>6.1274907137872869E-2</v>
      </c>
      <c r="AD31" s="186">
        <v>0.21</v>
      </c>
    </row>
    <row r="32" spans="1:30" ht="38.25" customHeight="1" x14ac:dyDescent="0.25">
      <c r="A32" s="17" t="s">
        <v>103</v>
      </c>
      <c r="B32" s="183">
        <f>Salario.com!M31</f>
        <v>4786.8102564102564</v>
      </c>
      <c r="C32" s="165">
        <f>'Trabalha Brasil'!M31</f>
        <v>0</v>
      </c>
      <c r="D32" s="165">
        <f>'Cargos.com'!M31</f>
        <v>5110.46</v>
      </c>
      <c r="E32" s="165">
        <f>Glassdoor!M31</f>
        <v>6500</v>
      </c>
      <c r="F32" s="165">
        <f>Leme!M31</f>
        <v>0</v>
      </c>
      <c r="G32" s="165">
        <f>Catho!N31</f>
        <v>0</v>
      </c>
      <c r="H32" s="165">
        <f>Aneel!N31</f>
        <v>0</v>
      </c>
      <c r="I32" s="165">
        <f>CJF!M31</f>
        <v>0</v>
      </c>
      <c r="J32" s="165">
        <f>'FAR '!M31</f>
        <v>0</v>
      </c>
      <c r="K32" s="165">
        <f>'INI '!N31</f>
        <v>0</v>
      </c>
      <c r="L32" s="165">
        <f>'COGIC '!M32</f>
        <v>0</v>
      </c>
      <c r="M32" s="165">
        <f>'INCQS '!M31</f>
        <v>0</v>
      </c>
      <c r="N32" s="165">
        <f>'COC '!M31</f>
        <v>0</v>
      </c>
      <c r="O32" s="165">
        <f>'IFF '!M31</f>
        <v>0</v>
      </c>
      <c r="P32" s="165">
        <f>'BIO '!M31</f>
        <v>8757.5300000000007</v>
      </c>
      <c r="Q32" s="165">
        <f>POLI!N31</f>
        <v>0</v>
      </c>
      <c r="R32" s="166">
        <v>5450.1303359999993</v>
      </c>
      <c r="S32" s="167">
        <f t="shared" si="0"/>
        <v>30604.930592410255</v>
      </c>
      <c r="T32" s="137">
        <f t="shared" si="1"/>
        <v>5</v>
      </c>
      <c r="U32" s="173">
        <f t="shared" si="2"/>
        <v>6120.9861184820511</v>
      </c>
      <c r="V32" s="175">
        <v>5450.1303359999993</v>
      </c>
      <c r="W32" s="20">
        <f t="shared" si="3"/>
        <v>-670.85578248205184</v>
      </c>
      <c r="X32" s="154">
        <f t="shared" si="4"/>
        <v>-0.10959929813538249</v>
      </c>
      <c r="Y32" s="135">
        <f>STDEVA(B32,D32,E32,R32,P32)</f>
        <v>1608.2794307513886</v>
      </c>
      <c r="Z32" s="143">
        <f t="shared" si="5"/>
        <v>0.26274841988209363</v>
      </c>
      <c r="AA32" s="190">
        <v>5461.8501481025642</v>
      </c>
      <c r="AB32" s="188">
        <f>V32-AA32</f>
        <v>-11.719812102564902</v>
      </c>
      <c r="AC32" s="192">
        <f>(V32/AA32)-1</f>
        <v>-2.1457586321067534E-3</v>
      </c>
      <c r="AD32" s="186">
        <v>0.13607142145621307</v>
      </c>
    </row>
    <row r="33" spans="1:30" ht="38.25" customHeight="1" x14ac:dyDescent="0.25">
      <c r="A33" s="17" t="s">
        <v>106</v>
      </c>
      <c r="B33" s="183">
        <f>Salario.com!M32</f>
        <v>5281.0249999999996</v>
      </c>
      <c r="C33" s="165">
        <f>'Trabalha Brasil'!M32</f>
        <v>5897.76</v>
      </c>
      <c r="D33" s="165">
        <f>'Cargos.com'!M32</f>
        <v>3645.58</v>
      </c>
      <c r="E33" s="165">
        <f>Glassdoor!M32</f>
        <v>5750</v>
      </c>
      <c r="F33" s="165">
        <f>Leme!M32</f>
        <v>4992</v>
      </c>
      <c r="G33" s="165">
        <f>Catho!N32</f>
        <v>0</v>
      </c>
      <c r="H33" s="165">
        <f>Aneel!N32</f>
        <v>0</v>
      </c>
      <c r="I33" s="165">
        <f>CJF!M32</f>
        <v>0</v>
      </c>
      <c r="J33" s="165">
        <f>'FAR '!M32</f>
        <v>0</v>
      </c>
      <c r="K33" s="165">
        <f>'INI '!N32</f>
        <v>0</v>
      </c>
      <c r="L33" s="165">
        <f>'COGIC '!M33</f>
        <v>0</v>
      </c>
      <c r="M33" s="165">
        <f>'INCQS '!M32</f>
        <v>0</v>
      </c>
      <c r="N33" s="165">
        <f>'COC '!M32</f>
        <v>0</v>
      </c>
      <c r="O33" s="165">
        <f>'IFF '!M32</f>
        <v>0</v>
      </c>
      <c r="P33" s="165">
        <f>'BIO '!M32</f>
        <v>0</v>
      </c>
      <c r="Q33" s="165">
        <f>POLI!N32</f>
        <v>0</v>
      </c>
      <c r="R33" s="166">
        <v>5450.1268685001596</v>
      </c>
      <c r="S33" s="167">
        <f t="shared" si="0"/>
        <v>31016.491868500158</v>
      </c>
      <c r="T33" s="137">
        <f t="shared" si="1"/>
        <v>6</v>
      </c>
      <c r="U33" s="173">
        <f t="shared" si="2"/>
        <v>5169.4153114166929</v>
      </c>
      <c r="V33" s="175">
        <v>5450.1268685001596</v>
      </c>
      <c r="W33" s="20">
        <f t="shared" si="3"/>
        <v>280.71155708346669</v>
      </c>
      <c r="X33" s="154">
        <f t="shared" si="4"/>
        <v>5.4302380476862311E-2</v>
      </c>
      <c r="Y33" s="135">
        <f>STDEVA(B33,C33,D33,E33,F33,R33)</f>
        <v>813.92512136145399</v>
      </c>
      <c r="Z33" s="142">
        <f t="shared" si="5"/>
        <v>0.1574501316549077</v>
      </c>
      <c r="AA33" s="181"/>
      <c r="AB33" s="181"/>
      <c r="AC33" s="145"/>
      <c r="AD33" s="185"/>
    </row>
    <row r="34" spans="1:30" ht="38.25" customHeight="1" x14ac:dyDescent="0.25">
      <c r="A34" s="17" t="s">
        <v>108</v>
      </c>
      <c r="B34" s="183">
        <f>Salario.com!M33</f>
        <v>9680.0400000000009</v>
      </c>
      <c r="C34" s="165">
        <f>'Trabalha Brasil'!M33</f>
        <v>5586.68</v>
      </c>
      <c r="D34" s="165">
        <f>'Cargos.com'!M33</f>
        <v>11508.629999999997</v>
      </c>
      <c r="E34" s="165">
        <f>Glassdoor!M33</f>
        <v>13250</v>
      </c>
      <c r="F34" s="165">
        <f>Leme!M33</f>
        <v>0</v>
      </c>
      <c r="G34" s="165">
        <f>Catho!N33</f>
        <v>0</v>
      </c>
      <c r="H34" s="165">
        <f>Aneel!N33</f>
        <v>0</v>
      </c>
      <c r="I34" s="165">
        <f>CJF!M33</f>
        <v>0</v>
      </c>
      <c r="J34" s="165">
        <f>'FAR '!M33</f>
        <v>0</v>
      </c>
      <c r="K34" s="165">
        <f>'INI '!N33</f>
        <v>0</v>
      </c>
      <c r="L34" s="165">
        <f>'COGIC '!M34</f>
        <v>0</v>
      </c>
      <c r="M34" s="165">
        <f>'INCQS '!M33</f>
        <v>0</v>
      </c>
      <c r="N34" s="165">
        <f>'COC '!M33</f>
        <v>0</v>
      </c>
      <c r="O34" s="165">
        <f>'IFF '!M33</f>
        <v>0</v>
      </c>
      <c r="P34" s="165">
        <f>'BIO '!M33</f>
        <v>8757.5300000000007</v>
      </c>
      <c r="Q34" s="165">
        <f>POLI!N33</f>
        <v>0</v>
      </c>
      <c r="R34" s="166">
        <v>5450.1268685001596</v>
      </c>
      <c r="S34" s="167">
        <f t="shared" si="0"/>
        <v>54233.006868500161</v>
      </c>
      <c r="T34" s="137">
        <f t="shared" si="1"/>
        <v>6</v>
      </c>
      <c r="U34" s="173">
        <f t="shared" si="2"/>
        <v>9038.8344780833595</v>
      </c>
      <c r="V34" s="175">
        <v>5450.1268685001596</v>
      </c>
      <c r="W34" s="20">
        <f t="shared" si="3"/>
        <v>-3588.7076095831999</v>
      </c>
      <c r="X34" s="155">
        <f t="shared" si="4"/>
        <v>-0.39703211938273786</v>
      </c>
      <c r="Y34" s="135">
        <f>STDEVA(B34,C34,D34,E34,R34,P34)</f>
        <v>3134.334843357246</v>
      </c>
      <c r="Z34" s="143">
        <f t="shared" si="5"/>
        <v>0.34676316409567293</v>
      </c>
      <c r="AA34" s="175">
        <v>5586.68</v>
      </c>
      <c r="AB34" s="188">
        <f>V34-AA34</f>
        <v>-136.55313149984067</v>
      </c>
      <c r="AC34" s="192">
        <f>(V34/AA34)-1</f>
        <v>-2.4442626300386072E-2</v>
      </c>
      <c r="AD34" s="187">
        <v>0.28000000000000003</v>
      </c>
    </row>
    <row r="35" spans="1:30" ht="38.25" customHeight="1" x14ac:dyDescent="0.25">
      <c r="A35" s="17" t="s">
        <v>110</v>
      </c>
      <c r="B35" s="183">
        <f>Salario.com!M34</f>
        <v>4522.9729729729734</v>
      </c>
      <c r="C35" s="165">
        <f>'Trabalha Brasil'!M34</f>
        <v>4995.6000000000004</v>
      </c>
      <c r="D35" s="165">
        <f>'Cargos.com'!M34</f>
        <v>3552.24</v>
      </c>
      <c r="E35" s="165">
        <f>Glassdoor!M34</f>
        <v>5000</v>
      </c>
      <c r="F35" s="165">
        <f>Leme!M34</f>
        <v>4747</v>
      </c>
      <c r="G35" s="165">
        <f>Catho!N34</f>
        <v>4500</v>
      </c>
      <c r="H35" s="165">
        <f>Aneel!N34</f>
        <v>0</v>
      </c>
      <c r="I35" s="165">
        <f>CJF!M34</f>
        <v>0</v>
      </c>
      <c r="J35" s="165">
        <f>'FAR '!M34</f>
        <v>6648.37</v>
      </c>
      <c r="K35" s="165">
        <f>'INI '!N34</f>
        <v>0</v>
      </c>
      <c r="L35" s="165">
        <f>'COGIC '!M35</f>
        <v>0</v>
      </c>
      <c r="M35" s="165">
        <f>'INCQS '!M34</f>
        <v>0</v>
      </c>
      <c r="N35" s="165">
        <f>'COC '!M34</f>
        <v>0</v>
      </c>
      <c r="O35" s="165">
        <f>'IFF '!M34</f>
        <v>0</v>
      </c>
      <c r="P35" s="165">
        <f>'BIO '!M34</f>
        <v>0</v>
      </c>
      <c r="Q35" s="165">
        <f>POLI!N34</f>
        <v>0</v>
      </c>
      <c r="R35" s="168">
        <v>0</v>
      </c>
      <c r="S35" s="167">
        <f t="shared" si="0"/>
        <v>33966.182972972972</v>
      </c>
      <c r="T35" s="137">
        <f t="shared" si="1"/>
        <v>7</v>
      </c>
      <c r="U35" s="173">
        <f t="shared" si="2"/>
        <v>4852.3118532818535</v>
      </c>
      <c r="V35" s="177">
        <f>U35</f>
        <v>4852.3118532818535</v>
      </c>
      <c r="W35" s="20">
        <f t="shared" si="3"/>
        <v>0</v>
      </c>
      <c r="X35" s="154">
        <f t="shared" si="4"/>
        <v>0</v>
      </c>
      <c r="Y35" s="135">
        <f>STDEVA(B35,C35,D35,E35,G35,J35)</f>
        <v>1018.7339476754152</v>
      </c>
      <c r="Z35" s="142">
        <f t="shared" si="5"/>
        <v>0.20994816048073991</v>
      </c>
      <c r="AA35" s="181"/>
      <c r="AB35" s="181"/>
      <c r="AC35" s="145"/>
      <c r="AD35" s="185"/>
    </row>
    <row r="36" spans="1:30" ht="38.25" customHeight="1" x14ac:dyDescent="0.25">
      <c r="A36" s="17" t="s">
        <v>113</v>
      </c>
      <c r="B36" s="183">
        <f>Salario.com!M35</f>
        <v>6707.713513513514</v>
      </c>
      <c r="C36" s="165">
        <f>'Trabalha Brasil'!M35</f>
        <v>7805.63</v>
      </c>
      <c r="D36" s="165">
        <f>'Cargos.com'!M35</f>
        <v>5379.6900000000005</v>
      </c>
      <c r="E36" s="165">
        <f>Glassdoor!M35</f>
        <v>6500</v>
      </c>
      <c r="F36" s="165">
        <f>Leme!M35</f>
        <v>6138</v>
      </c>
      <c r="G36" s="165">
        <f>Catho!N35</f>
        <v>4875</v>
      </c>
      <c r="H36" s="165">
        <f>Aneel!N35</f>
        <v>0</v>
      </c>
      <c r="I36" s="165">
        <f>CJF!M35</f>
        <v>0</v>
      </c>
      <c r="J36" s="165">
        <f>'FAR '!M35</f>
        <v>0</v>
      </c>
      <c r="K36" s="165">
        <f>'INI '!N35</f>
        <v>0</v>
      </c>
      <c r="L36" s="165">
        <f>'COGIC '!M36</f>
        <v>0</v>
      </c>
      <c r="M36" s="165">
        <f>'INCQS '!M35</f>
        <v>0</v>
      </c>
      <c r="N36" s="165">
        <f>'COC '!M35</f>
        <v>0</v>
      </c>
      <c r="O36" s="165">
        <f>'IFF '!M35</f>
        <v>0</v>
      </c>
      <c r="P36" s="165">
        <f>'BIO '!M35</f>
        <v>0</v>
      </c>
      <c r="Q36" s="165">
        <f>POLI!N35</f>
        <v>0</v>
      </c>
      <c r="R36" s="168">
        <v>6022.8171519999996</v>
      </c>
      <c r="S36" s="167">
        <f t="shared" si="0"/>
        <v>43428.850665513513</v>
      </c>
      <c r="T36" s="137">
        <f t="shared" si="1"/>
        <v>7</v>
      </c>
      <c r="U36" s="173">
        <f t="shared" si="2"/>
        <v>6204.1215236447879</v>
      </c>
      <c r="V36" s="175">
        <v>6022.8171519999996</v>
      </c>
      <c r="W36" s="20">
        <f t="shared" si="3"/>
        <v>-181.30437164478826</v>
      </c>
      <c r="X36" s="154">
        <f t="shared" si="4"/>
        <v>-2.9223214109171058E-2</v>
      </c>
      <c r="Y36" s="135">
        <f>STDEVA(B36,C36,D36,E36,F36,G36,R36)</f>
        <v>947.75814933008644</v>
      </c>
      <c r="Z36" s="142">
        <f t="shared" si="5"/>
        <v>0.15276266683656109</v>
      </c>
      <c r="AA36" s="181"/>
      <c r="AB36" s="181"/>
      <c r="AC36" s="145"/>
      <c r="AD36" s="185"/>
    </row>
    <row r="37" spans="1:30" ht="38.25" customHeight="1" thickBot="1" x14ac:dyDescent="0.3">
      <c r="A37" s="18" t="s">
        <v>115</v>
      </c>
      <c r="B37" s="193">
        <f>Salario.com!M36</f>
        <v>10292.67037037037</v>
      </c>
      <c r="C37" s="169">
        <f>'Trabalha Brasil'!M36</f>
        <v>10383.540000000001</v>
      </c>
      <c r="D37" s="169">
        <f>'Cargos.com'!M36</f>
        <v>6393.6024999999991</v>
      </c>
      <c r="E37" s="169">
        <f>Glassdoor!M36</f>
        <v>19000</v>
      </c>
      <c r="F37" s="169">
        <f>Leme!M36</f>
        <v>0</v>
      </c>
      <c r="G37" s="169">
        <f>Catho!N36</f>
        <v>0</v>
      </c>
      <c r="H37" s="169">
        <f>Aneel!N36</f>
        <v>0</v>
      </c>
      <c r="I37" s="169">
        <f>CJF!M36</f>
        <v>0</v>
      </c>
      <c r="J37" s="169">
        <f>'FAR '!M36</f>
        <v>0</v>
      </c>
      <c r="K37" s="169">
        <f>'INI '!N36</f>
        <v>0</v>
      </c>
      <c r="L37" s="169">
        <f>'COGIC '!M37</f>
        <v>0</v>
      </c>
      <c r="M37" s="169">
        <f>'INCQS '!M36</f>
        <v>0</v>
      </c>
      <c r="N37" s="169">
        <f>'COC '!M36</f>
        <v>0</v>
      </c>
      <c r="O37" s="169">
        <f>'IFF '!M36</f>
        <v>0</v>
      </c>
      <c r="P37" s="169">
        <f>'BIO '!M36</f>
        <v>11360.419999999998</v>
      </c>
      <c r="Q37" s="169">
        <f>POLI!N36</f>
        <v>0</v>
      </c>
      <c r="R37" s="194">
        <v>7509.5</v>
      </c>
      <c r="S37" s="195">
        <f t="shared" si="0"/>
        <v>64939.732870370368</v>
      </c>
      <c r="T37" s="196">
        <f t="shared" si="1"/>
        <v>6</v>
      </c>
      <c r="U37" s="197">
        <f t="shared" si="2"/>
        <v>10823.288811728395</v>
      </c>
      <c r="V37" s="179">
        <v>7509.5</v>
      </c>
      <c r="W37" s="198">
        <f t="shared" si="3"/>
        <v>-3313.7888117283946</v>
      </c>
      <c r="X37" s="199">
        <f t="shared" si="4"/>
        <v>-0.30617207665543289</v>
      </c>
      <c r="Y37" s="136">
        <f>STDEVA(B37,C37,D37,E37,P37,R37)</f>
        <v>4432.2763412629411</v>
      </c>
      <c r="Z37" s="200">
        <f t="shared" si="5"/>
        <v>0.40951289560526299</v>
      </c>
      <c r="AA37" s="179">
        <v>9187.9465740740743</v>
      </c>
      <c r="AB37" s="201">
        <f>V37-AA37</f>
        <v>-1678.4465740740743</v>
      </c>
      <c r="AC37" s="202">
        <f>(V37/AA37)-1</f>
        <v>-0.18267918305165176</v>
      </c>
      <c r="AD37" s="203">
        <v>0.23</v>
      </c>
    </row>
  </sheetData>
  <mergeCells count="1">
    <mergeCell ref="A1:AD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6"/>
  <sheetViews>
    <sheetView topLeftCell="A39" zoomScale="70" zoomScaleNormal="70" workbookViewId="0">
      <pane xSplit="1" topLeftCell="B1" activePane="topRight" state="frozen"/>
      <selection activeCell="C31" sqref="C31"/>
      <selection pane="topRight" activeCell="C21" sqref="C21:C36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7.7109375" style="123" customWidth="1"/>
    <col min="10" max="10" width="23" style="7" customWidth="1"/>
    <col min="11" max="11" width="11.85546875" style="8" customWidth="1"/>
    <col min="12" max="12" width="14" style="7" bestFit="1" customWidth="1"/>
    <col min="13" max="13" width="17.28515625" style="7" bestFit="1" customWidth="1"/>
    <col min="14" max="14" width="21.7109375" style="22" customWidth="1"/>
    <col min="15" max="15" width="9.7109375" style="22" customWidth="1"/>
    <col min="16" max="16" width="7.7109375" style="22" bestFit="1" customWidth="1"/>
    <col min="17" max="17" width="16.42578125" style="22" customWidth="1"/>
    <col min="18" max="18" width="36.42578125" style="22" bestFit="1" customWidth="1"/>
    <col min="19" max="19" width="10.5703125" style="22" customWidth="1"/>
    <col min="20" max="20" width="9" style="22" customWidth="1"/>
    <col min="21" max="21" width="64.42578125" style="22" customWidth="1"/>
    <col min="22" max="22" width="38" style="7" bestFit="1" customWidth="1"/>
  </cols>
  <sheetData>
    <row r="1" spans="1:22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36" t="s">
        <v>13</v>
      </c>
    </row>
    <row r="2" spans="1:22" ht="300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>
        <v>3125.07</v>
      </c>
      <c r="K2" s="28">
        <v>40</v>
      </c>
      <c r="L2" s="27">
        <f t="shared" ref="L2:L8" si="0">J2/K2</f>
        <v>78.126750000000001</v>
      </c>
      <c r="M2" s="27">
        <f t="shared" ref="M2:M8" si="1">L2*B2</f>
        <v>3125.07</v>
      </c>
      <c r="N2" s="112" t="s">
        <v>283</v>
      </c>
      <c r="O2" s="112"/>
      <c r="P2" s="112">
        <v>4110</v>
      </c>
      <c r="Q2" s="112"/>
      <c r="R2" s="112"/>
      <c r="S2" s="112"/>
      <c r="T2" s="112"/>
      <c r="U2" s="112" t="s">
        <v>284</v>
      </c>
      <c r="V2" s="130" t="s">
        <v>285</v>
      </c>
    </row>
    <row r="3" spans="1:22" ht="34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>
        <v>4008.72</v>
      </c>
      <c r="K3" s="28">
        <v>40</v>
      </c>
      <c r="L3" s="30">
        <f t="shared" si="0"/>
        <v>100.21799999999999</v>
      </c>
      <c r="M3" s="27">
        <f t="shared" si="1"/>
        <v>4008.7199999999993</v>
      </c>
      <c r="N3" s="112" t="s">
        <v>286</v>
      </c>
      <c r="O3" s="112"/>
      <c r="P3" s="112">
        <v>4110</v>
      </c>
      <c r="Q3" s="112"/>
      <c r="R3" s="112"/>
      <c r="S3" s="112"/>
      <c r="T3" s="112"/>
      <c r="U3" s="112" t="s">
        <v>287</v>
      </c>
      <c r="V3" s="130" t="s">
        <v>288</v>
      </c>
    </row>
    <row r="4" spans="1:22" ht="360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>
        <v>4246.5200000000004</v>
      </c>
      <c r="K4" s="28">
        <v>40</v>
      </c>
      <c r="L4" s="27">
        <f t="shared" si="0"/>
        <v>106.16300000000001</v>
      </c>
      <c r="M4" s="27">
        <f t="shared" si="1"/>
        <v>4246.5200000000004</v>
      </c>
      <c r="N4" s="112" t="s">
        <v>289</v>
      </c>
      <c r="O4" s="112"/>
      <c r="P4" s="112">
        <v>4110</v>
      </c>
      <c r="Q4" s="112"/>
      <c r="R4" s="112"/>
      <c r="S4" s="112"/>
      <c r="T4" s="112"/>
      <c r="U4" s="112" t="s">
        <v>290</v>
      </c>
      <c r="V4" s="130" t="s">
        <v>291</v>
      </c>
    </row>
    <row r="5" spans="1:22" ht="16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>
        <v>4670.26</v>
      </c>
      <c r="K5" s="28">
        <v>40</v>
      </c>
      <c r="L5" s="27">
        <f t="shared" si="0"/>
        <v>116.7565</v>
      </c>
      <c r="M5" s="27">
        <f t="shared" si="1"/>
        <v>4670.26</v>
      </c>
      <c r="N5" s="112" t="s">
        <v>292</v>
      </c>
      <c r="O5" s="112"/>
      <c r="P5" s="112">
        <v>4110</v>
      </c>
      <c r="Q5" s="112"/>
      <c r="R5" s="112"/>
      <c r="S5" s="112"/>
      <c r="T5" s="112" t="s">
        <v>28</v>
      </c>
      <c r="U5" s="112" t="s">
        <v>293</v>
      </c>
      <c r="V5" s="130" t="s">
        <v>294</v>
      </c>
    </row>
    <row r="6" spans="1:22" ht="150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>
        <v>5183.24</v>
      </c>
      <c r="K6" s="28">
        <v>40</v>
      </c>
      <c r="L6" s="27">
        <f t="shared" si="0"/>
        <v>129.58099999999999</v>
      </c>
      <c r="M6" s="27">
        <f t="shared" si="1"/>
        <v>5183.24</v>
      </c>
      <c r="N6" s="112" t="s">
        <v>295</v>
      </c>
      <c r="O6" s="112"/>
      <c r="P6" s="112">
        <v>4110</v>
      </c>
      <c r="Q6" s="112"/>
      <c r="R6" s="112"/>
      <c r="S6" s="112"/>
      <c r="T6" s="112" t="s">
        <v>17</v>
      </c>
      <c r="U6" s="112" t="s">
        <v>296</v>
      </c>
      <c r="V6" s="130" t="s">
        <v>297</v>
      </c>
    </row>
    <row r="7" spans="1:22" ht="180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>
        <v>6595.1</v>
      </c>
      <c r="K7" s="28">
        <v>40</v>
      </c>
      <c r="L7" s="27">
        <f t="shared" si="0"/>
        <v>164.8775</v>
      </c>
      <c r="M7" s="27">
        <f t="shared" si="1"/>
        <v>6595.1</v>
      </c>
      <c r="N7" s="112" t="s">
        <v>298</v>
      </c>
      <c r="O7" s="112"/>
      <c r="P7" s="112">
        <v>4110</v>
      </c>
      <c r="Q7" s="112"/>
      <c r="R7" s="112"/>
      <c r="S7" s="112"/>
      <c r="T7" s="112" t="s">
        <v>21</v>
      </c>
      <c r="U7" s="112" t="s">
        <v>299</v>
      </c>
      <c r="V7" s="130" t="s">
        <v>300</v>
      </c>
    </row>
    <row r="8" spans="1:22" ht="210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>
        <v>6788.84</v>
      </c>
      <c r="K8" s="28">
        <v>40</v>
      </c>
      <c r="L8" s="27">
        <f t="shared" si="0"/>
        <v>169.721</v>
      </c>
      <c r="M8" s="27">
        <f t="shared" si="1"/>
        <v>6788.84</v>
      </c>
      <c r="N8" s="112" t="s">
        <v>301</v>
      </c>
      <c r="O8" s="112"/>
      <c r="P8" s="112">
        <v>4110</v>
      </c>
      <c r="Q8" s="112"/>
      <c r="R8" s="112"/>
      <c r="S8" s="112"/>
      <c r="T8" s="112" t="s">
        <v>37</v>
      </c>
      <c r="U8" s="112" t="s">
        <v>302</v>
      </c>
      <c r="V8" s="130" t="s">
        <v>303</v>
      </c>
    </row>
    <row r="9" spans="1:22" ht="94.5" customHeight="1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28"/>
      <c r="L9" s="27"/>
      <c r="M9" s="27"/>
      <c r="N9" s="112"/>
      <c r="O9" s="112"/>
      <c r="P9" s="112"/>
      <c r="Q9" s="112"/>
      <c r="R9" s="112"/>
      <c r="S9" s="112"/>
      <c r="T9" s="112"/>
      <c r="U9" s="112"/>
      <c r="V9" s="38"/>
    </row>
    <row r="10" spans="1:22" ht="105.75" customHeight="1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28">
        <v>40</v>
      </c>
      <c r="L10" s="27">
        <f t="shared" ref="L10:L36" si="2">J10/K10</f>
        <v>0</v>
      </c>
      <c r="M10" s="27">
        <f t="shared" ref="M10:M36" si="3">L10*B10</f>
        <v>0</v>
      </c>
      <c r="N10" s="112"/>
      <c r="O10" s="112"/>
      <c r="P10" s="112"/>
      <c r="Q10" s="112"/>
      <c r="R10" s="112"/>
      <c r="S10" s="112"/>
      <c r="T10" s="112"/>
      <c r="U10" s="112"/>
      <c r="V10" s="38"/>
    </row>
    <row r="11" spans="1:22" ht="207" customHeight="1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>
        <v>4040.37</v>
      </c>
      <c r="K11" s="28">
        <v>40</v>
      </c>
      <c r="L11" s="27">
        <f t="shared" si="2"/>
        <v>101.00924999999999</v>
      </c>
      <c r="M11" s="27">
        <f t="shared" si="3"/>
        <v>4040.37</v>
      </c>
      <c r="N11" s="112" t="s">
        <v>304</v>
      </c>
      <c r="O11" s="112">
        <v>40</v>
      </c>
      <c r="P11" s="112">
        <v>9511</v>
      </c>
      <c r="Q11" s="112" t="s">
        <v>272</v>
      </c>
      <c r="R11" s="112"/>
      <c r="S11" s="112"/>
      <c r="T11" s="112"/>
      <c r="U11" s="112" t="s">
        <v>305</v>
      </c>
      <c r="V11" s="130" t="s">
        <v>306</v>
      </c>
    </row>
    <row r="12" spans="1:22" ht="225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>
        <v>34</v>
      </c>
      <c r="H12" s="97" t="s">
        <v>49</v>
      </c>
      <c r="I12" s="119">
        <v>4278.2939400000005</v>
      </c>
      <c r="J12" s="37">
        <v>4280.7</v>
      </c>
      <c r="K12" s="28">
        <v>40</v>
      </c>
      <c r="L12" s="27">
        <f t="shared" si="2"/>
        <v>107.0175</v>
      </c>
      <c r="M12" s="27">
        <f t="shared" si="3"/>
        <v>4280.7</v>
      </c>
      <c r="N12" s="112" t="s">
        <v>307</v>
      </c>
      <c r="O12" s="112"/>
      <c r="P12" s="112">
        <v>3516</v>
      </c>
      <c r="Q12" s="112" t="s">
        <v>272</v>
      </c>
      <c r="R12" s="112"/>
      <c r="S12" s="112"/>
      <c r="T12" s="112"/>
      <c r="U12" s="112" t="s">
        <v>308</v>
      </c>
      <c r="V12" s="130" t="s">
        <v>309</v>
      </c>
    </row>
    <row r="13" spans="1:22" ht="122.25" customHeight="1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>
        <v>40</v>
      </c>
      <c r="L13" s="27">
        <f t="shared" si="2"/>
        <v>0</v>
      </c>
      <c r="M13" s="27">
        <f t="shared" si="3"/>
        <v>0</v>
      </c>
      <c r="N13" s="112"/>
      <c r="O13" s="112"/>
      <c r="P13" s="112"/>
      <c r="Q13" s="112"/>
      <c r="R13" s="112"/>
      <c r="S13" s="112"/>
      <c r="T13" s="112"/>
      <c r="U13" s="112"/>
      <c r="V13" s="130"/>
    </row>
    <row r="14" spans="1:22" ht="103.5" customHeight="1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8">
        <v>40</v>
      </c>
      <c r="L14" s="27">
        <f t="shared" si="2"/>
        <v>0</v>
      </c>
      <c r="M14" s="27">
        <f t="shared" si="3"/>
        <v>0</v>
      </c>
      <c r="N14" s="112"/>
      <c r="O14" s="112"/>
      <c r="P14" s="112"/>
      <c r="Q14" s="112"/>
      <c r="R14" s="112"/>
      <c r="S14" s="112"/>
      <c r="T14" s="112"/>
      <c r="U14" s="112"/>
      <c r="V14" s="38"/>
    </row>
    <row r="15" spans="1:22" ht="136.5" customHeight="1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8">
        <v>40</v>
      </c>
      <c r="L15" s="27">
        <f t="shared" si="2"/>
        <v>0</v>
      </c>
      <c r="M15" s="27">
        <f t="shared" si="3"/>
        <v>0</v>
      </c>
      <c r="N15" s="112"/>
      <c r="O15" s="112"/>
      <c r="P15" s="112"/>
      <c r="Q15" s="112"/>
      <c r="R15" s="112"/>
      <c r="S15" s="112"/>
      <c r="T15" s="112"/>
      <c r="U15" s="112"/>
      <c r="V15" s="38"/>
    </row>
    <row r="16" spans="1:22" ht="137.25" customHeight="1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8">
        <v>40</v>
      </c>
      <c r="L16" s="27">
        <f t="shared" si="2"/>
        <v>0</v>
      </c>
      <c r="M16" s="27">
        <f t="shared" si="3"/>
        <v>0</v>
      </c>
      <c r="N16" s="112"/>
      <c r="O16" s="112"/>
      <c r="P16" s="112"/>
      <c r="Q16" s="112"/>
      <c r="R16" s="112"/>
      <c r="S16" s="112"/>
      <c r="T16" s="112"/>
      <c r="U16" s="112"/>
      <c r="V16" s="40"/>
    </row>
    <row r="17" spans="1:22" ht="57" customHeight="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>
        <v>40</v>
      </c>
      <c r="L17" s="27">
        <f t="shared" si="2"/>
        <v>0</v>
      </c>
      <c r="M17" s="27">
        <f t="shared" si="3"/>
        <v>0</v>
      </c>
      <c r="N17" s="112"/>
      <c r="O17" s="112"/>
      <c r="P17" s="112"/>
      <c r="Q17" s="112"/>
      <c r="R17" s="112"/>
      <c r="S17" s="112"/>
      <c r="T17" s="112"/>
      <c r="U17" s="112"/>
      <c r="V17" s="38"/>
    </row>
    <row r="18" spans="1:22" ht="66" customHeight="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>
        <v>40</v>
      </c>
      <c r="L18" s="27">
        <f t="shared" si="2"/>
        <v>0</v>
      </c>
      <c r="M18" s="27">
        <f t="shared" si="3"/>
        <v>0</v>
      </c>
      <c r="N18" s="112"/>
      <c r="O18" s="112"/>
      <c r="P18" s="112"/>
      <c r="Q18" s="112"/>
      <c r="R18" s="112"/>
      <c r="S18" s="112"/>
      <c r="T18" s="112"/>
      <c r="U18" s="112"/>
      <c r="V18" s="38"/>
    </row>
    <row r="19" spans="1:22" ht="129.75" customHeight="1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8">
        <v>40</v>
      </c>
      <c r="L19" s="27">
        <f t="shared" si="2"/>
        <v>0</v>
      </c>
      <c r="M19" s="27">
        <f t="shared" si="3"/>
        <v>0</v>
      </c>
      <c r="N19" s="112"/>
      <c r="O19" s="112"/>
      <c r="P19" s="112"/>
      <c r="Q19" s="112"/>
      <c r="R19" s="112"/>
      <c r="S19" s="112"/>
      <c r="T19" s="112"/>
      <c r="U19" s="112"/>
      <c r="V19" s="38"/>
    </row>
    <row r="20" spans="1:22" ht="34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>
        <v>10397.14</v>
      </c>
      <c r="K20" s="28">
        <v>40</v>
      </c>
      <c r="L20" s="27">
        <f t="shared" si="2"/>
        <v>259.92849999999999</v>
      </c>
      <c r="M20" s="27">
        <f t="shared" si="3"/>
        <v>10397.14</v>
      </c>
      <c r="N20" s="112" t="s">
        <v>310</v>
      </c>
      <c r="O20" s="112"/>
      <c r="P20" s="112">
        <v>4110</v>
      </c>
      <c r="Q20" s="112" t="s">
        <v>277</v>
      </c>
      <c r="R20" s="112"/>
      <c r="S20" s="112"/>
      <c r="T20" s="112"/>
      <c r="U20" s="112" t="s">
        <v>311</v>
      </c>
      <c r="V20" s="38" t="s">
        <v>312</v>
      </c>
    </row>
    <row r="21" spans="1:22" ht="180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>
        <v>2455.08</v>
      </c>
      <c r="K21" s="28">
        <v>40</v>
      </c>
      <c r="L21" s="27">
        <f t="shared" si="2"/>
        <v>61.376999999999995</v>
      </c>
      <c r="M21" s="27">
        <f t="shared" si="3"/>
        <v>2455.08</v>
      </c>
      <c r="N21" s="112" t="s">
        <v>313</v>
      </c>
      <c r="O21" s="112">
        <v>40</v>
      </c>
      <c r="P21" s="112">
        <v>3252</v>
      </c>
      <c r="Q21" s="112"/>
      <c r="R21" s="112"/>
      <c r="S21" s="112"/>
      <c r="T21" s="112"/>
      <c r="U21" s="112" t="s">
        <v>314</v>
      </c>
      <c r="V21" s="130" t="s">
        <v>315</v>
      </c>
    </row>
    <row r="22" spans="1:22" ht="152.25" customHeight="1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8">
        <v>40</v>
      </c>
      <c r="L22" s="27">
        <f t="shared" si="2"/>
        <v>0</v>
      </c>
      <c r="M22" s="27">
        <f t="shared" si="3"/>
        <v>0</v>
      </c>
      <c r="N22" s="112"/>
      <c r="O22" s="112"/>
      <c r="P22" s="112"/>
      <c r="Q22" s="112"/>
      <c r="R22" s="112"/>
      <c r="S22" s="112"/>
      <c r="T22" s="112"/>
      <c r="U22" s="112"/>
      <c r="V22" s="40"/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>
        <v>40</v>
      </c>
      <c r="L23" s="27">
        <f t="shared" si="2"/>
        <v>0</v>
      </c>
      <c r="M23" s="27">
        <f t="shared" si="3"/>
        <v>0</v>
      </c>
      <c r="N23" s="112"/>
      <c r="O23" s="112"/>
      <c r="P23" s="112"/>
      <c r="Q23" s="112"/>
      <c r="R23" s="112"/>
      <c r="S23" s="112"/>
      <c r="T23" s="112"/>
      <c r="U23" s="112"/>
      <c r="V23" s="38"/>
    </row>
    <row r="24" spans="1:22" ht="65.25" customHeight="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>
        <v>40</v>
      </c>
      <c r="L24" s="27">
        <f t="shared" si="2"/>
        <v>0</v>
      </c>
      <c r="M24" s="27">
        <f t="shared" si="3"/>
        <v>0</v>
      </c>
      <c r="N24" s="112"/>
      <c r="O24" s="112"/>
      <c r="P24" s="112"/>
      <c r="Q24" s="112"/>
      <c r="R24" s="112"/>
      <c r="S24" s="112"/>
      <c r="T24" s="112"/>
      <c r="U24" s="112"/>
      <c r="V24" s="38"/>
    </row>
    <row r="25" spans="1:22" ht="66.75" customHeight="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>
        <v>40</v>
      </c>
      <c r="L25" s="27">
        <f t="shared" si="2"/>
        <v>0</v>
      </c>
      <c r="M25" s="27">
        <f t="shared" si="3"/>
        <v>0</v>
      </c>
      <c r="N25" s="112"/>
      <c r="O25" s="112"/>
      <c r="P25" s="112"/>
      <c r="Q25" s="112"/>
      <c r="R25" s="112"/>
      <c r="S25" s="112"/>
      <c r="T25" s="112"/>
      <c r="U25" s="112"/>
      <c r="V25" s="40"/>
    </row>
    <row r="26" spans="1:22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8">
        <v>40</v>
      </c>
      <c r="L26" s="27">
        <f t="shared" si="2"/>
        <v>0</v>
      </c>
      <c r="M26" s="27">
        <f t="shared" si="3"/>
        <v>0</v>
      </c>
      <c r="N26" s="112"/>
      <c r="O26" s="112"/>
      <c r="P26" s="112"/>
      <c r="Q26" s="112"/>
      <c r="R26" s="112"/>
      <c r="S26" s="112"/>
      <c r="T26" s="112"/>
      <c r="U26" s="112"/>
      <c r="V26" s="38"/>
    </row>
    <row r="27" spans="1:22" ht="300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>
        <v>5915.13</v>
      </c>
      <c r="K27" s="28">
        <v>30</v>
      </c>
      <c r="L27" s="27">
        <f t="shared" si="2"/>
        <v>197.17099999999999</v>
      </c>
      <c r="M27" s="27">
        <f t="shared" si="3"/>
        <v>5915.13</v>
      </c>
      <c r="N27" s="112" t="s">
        <v>316</v>
      </c>
      <c r="O27" s="112"/>
      <c r="P27" s="112">
        <v>2237</v>
      </c>
      <c r="Q27" s="112" t="s">
        <v>277</v>
      </c>
      <c r="R27" s="112"/>
      <c r="S27" s="112"/>
      <c r="T27" s="112" t="s">
        <v>21</v>
      </c>
      <c r="U27" s="112" t="s">
        <v>317</v>
      </c>
      <c r="V27" s="130" t="s">
        <v>318</v>
      </c>
    </row>
    <row r="28" spans="1:22" ht="270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>
        <v>6648.34</v>
      </c>
      <c r="K28" s="28">
        <v>40</v>
      </c>
      <c r="L28" s="27">
        <f t="shared" si="2"/>
        <v>166.20850000000002</v>
      </c>
      <c r="M28" s="27">
        <f t="shared" si="3"/>
        <v>6648.34</v>
      </c>
      <c r="N28" s="112" t="s">
        <v>319</v>
      </c>
      <c r="O28" s="112"/>
      <c r="P28" s="112">
        <v>4110</v>
      </c>
      <c r="Q28" s="112" t="s">
        <v>277</v>
      </c>
      <c r="R28" s="112"/>
      <c r="S28" s="112"/>
      <c r="T28" s="112" t="s">
        <v>17</v>
      </c>
      <c r="U28" s="112" t="s">
        <v>320</v>
      </c>
      <c r="V28" s="130" t="s">
        <v>321</v>
      </c>
    </row>
    <row r="29" spans="1:22" ht="113.25" customHeight="1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8">
        <v>40</v>
      </c>
      <c r="L29" s="27">
        <f t="shared" si="2"/>
        <v>0</v>
      </c>
      <c r="M29" s="27">
        <f t="shared" si="3"/>
        <v>0</v>
      </c>
      <c r="N29" s="112"/>
      <c r="O29" s="112"/>
      <c r="P29" s="112"/>
      <c r="Q29" s="112"/>
      <c r="R29" s="112"/>
      <c r="S29" s="112"/>
      <c r="T29" s="112"/>
      <c r="U29" s="112"/>
      <c r="V29" s="38"/>
    </row>
    <row r="30" spans="1:22" ht="111.75" customHeight="1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8">
        <v>40</v>
      </c>
      <c r="L30" s="27">
        <f t="shared" si="2"/>
        <v>0</v>
      </c>
      <c r="M30" s="27">
        <f t="shared" si="3"/>
        <v>0</v>
      </c>
      <c r="N30" s="112"/>
      <c r="O30" s="112"/>
      <c r="P30" s="112"/>
      <c r="Q30" s="112"/>
      <c r="R30" s="112"/>
      <c r="S30" s="112"/>
      <c r="T30" s="112"/>
      <c r="U30" s="112"/>
      <c r="V30" s="38"/>
    </row>
    <row r="31" spans="1:22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8">
        <v>40</v>
      </c>
      <c r="L31" s="27">
        <f t="shared" si="2"/>
        <v>0</v>
      </c>
      <c r="M31" s="27">
        <f t="shared" si="3"/>
        <v>0</v>
      </c>
      <c r="N31" s="112"/>
      <c r="O31" s="112"/>
      <c r="P31" s="112"/>
      <c r="Q31" s="112"/>
      <c r="R31" s="112"/>
      <c r="S31" s="112"/>
      <c r="T31" s="112"/>
      <c r="U31" s="112"/>
      <c r="V31" s="38"/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>
        <v>40</v>
      </c>
      <c r="L32" s="27">
        <f t="shared" si="2"/>
        <v>0</v>
      </c>
      <c r="M32" s="27">
        <f t="shared" si="3"/>
        <v>0</v>
      </c>
      <c r="N32" s="112"/>
      <c r="O32" s="112"/>
      <c r="P32" s="112"/>
      <c r="Q32" s="112"/>
      <c r="R32" s="112"/>
      <c r="S32" s="112"/>
      <c r="T32" s="112"/>
      <c r="U32" s="112"/>
      <c r="V32" s="38"/>
    </row>
    <row r="33" spans="1:22" ht="108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8">
        <v>40</v>
      </c>
      <c r="L33" s="27">
        <f t="shared" si="2"/>
        <v>0</v>
      </c>
      <c r="M33" s="27">
        <f t="shared" si="3"/>
        <v>0</v>
      </c>
      <c r="N33" s="112"/>
      <c r="O33" s="112"/>
      <c r="P33" s="112"/>
      <c r="Q33" s="112"/>
      <c r="R33" s="112"/>
      <c r="S33" s="112"/>
      <c r="T33" s="112"/>
      <c r="U33" s="112"/>
      <c r="V33" s="38"/>
    </row>
    <row r="34" spans="1:22" ht="270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>
        <v>6648.37</v>
      </c>
      <c r="K34" s="28">
        <v>40</v>
      </c>
      <c r="L34" s="27">
        <f t="shared" si="2"/>
        <v>166.20925</v>
      </c>
      <c r="M34" s="27">
        <f t="shared" si="3"/>
        <v>6648.37</v>
      </c>
      <c r="N34" s="112" t="s">
        <v>319</v>
      </c>
      <c r="O34" s="112"/>
      <c r="P34" s="112">
        <v>4110</v>
      </c>
      <c r="Q34" s="112" t="s">
        <v>277</v>
      </c>
      <c r="R34" s="112"/>
      <c r="S34" s="112"/>
      <c r="T34" s="112" t="s">
        <v>17</v>
      </c>
      <c r="U34" s="112" t="s">
        <v>320</v>
      </c>
      <c r="V34" s="130" t="s">
        <v>321</v>
      </c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>
        <f t="shared" si="2"/>
        <v>0</v>
      </c>
      <c r="M35" s="27">
        <f t="shared" si="3"/>
        <v>0</v>
      </c>
      <c r="N35" s="112"/>
      <c r="O35" s="112"/>
      <c r="P35" s="112"/>
      <c r="Q35" s="112"/>
      <c r="R35" s="112"/>
      <c r="S35" s="112"/>
      <c r="T35" s="112"/>
      <c r="U35" s="112"/>
      <c r="V35" s="38"/>
    </row>
    <row r="36" spans="1:22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3">
        <v>40</v>
      </c>
      <c r="L36" s="42">
        <f t="shared" si="2"/>
        <v>0</v>
      </c>
      <c r="M36" s="42">
        <f t="shared" si="3"/>
        <v>0</v>
      </c>
      <c r="N36" s="113"/>
      <c r="O36" s="113"/>
      <c r="P36" s="113"/>
      <c r="Q36" s="113"/>
      <c r="R36" s="113"/>
      <c r="S36" s="113"/>
      <c r="T36" s="113"/>
      <c r="U36" s="113"/>
      <c r="V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6"/>
  <sheetViews>
    <sheetView topLeftCell="A35" zoomScale="80" zoomScaleNormal="80" workbookViewId="0">
      <pane xSplit="1" topLeftCell="B1" activePane="topRight" state="frozen"/>
      <selection activeCell="C31" sqref="C31"/>
      <selection pane="topRight" activeCell="C21" sqref="C21:C36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4.140625" style="123" customWidth="1"/>
    <col min="10" max="11" width="11.85546875" style="7" customWidth="1"/>
    <col min="12" max="12" width="11.85546875" style="8" customWidth="1"/>
    <col min="13" max="13" width="11.140625" style="7" customWidth="1"/>
    <col min="14" max="14" width="17.28515625" style="7" customWidth="1"/>
    <col min="15" max="15" width="27" customWidth="1"/>
    <col min="16" max="16" width="9.7109375" customWidth="1"/>
    <col min="17" max="17" width="7.7109375" bestFit="1" customWidth="1"/>
    <col min="18" max="18" width="16.42578125" customWidth="1"/>
    <col min="19" max="19" width="36.42578125" bestFit="1" customWidth="1"/>
    <col min="20" max="20" width="10.5703125" customWidth="1"/>
    <col min="21" max="21" width="9" customWidth="1"/>
    <col min="22" max="22" width="57.5703125" customWidth="1"/>
    <col min="23" max="23" width="38" style="7" bestFit="1" customWidth="1"/>
  </cols>
  <sheetData>
    <row r="1" spans="1:23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2" t="s">
        <v>261</v>
      </c>
      <c r="L1" s="33" t="s">
        <v>267</v>
      </c>
      <c r="M1" s="32" t="s">
        <v>11</v>
      </c>
      <c r="N1" s="32" t="s">
        <v>12</v>
      </c>
      <c r="O1" s="34" t="s">
        <v>268</v>
      </c>
      <c r="P1" s="34" t="s">
        <v>1</v>
      </c>
      <c r="Q1" s="34" t="s">
        <v>2</v>
      </c>
      <c r="R1" s="34" t="s">
        <v>3</v>
      </c>
      <c r="S1" s="34" t="s">
        <v>269</v>
      </c>
      <c r="T1" s="35" t="s">
        <v>5</v>
      </c>
      <c r="U1" s="34" t="s">
        <v>6</v>
      </c>
      <c r="V1" s="34" t="s">
        <v>270</v>
      </c>
      <c r="W1" s="36" t="s">
        <v>13</v>
      </c>
    </row>
    <row r="2" spans="1:23" ht="76.5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/>
      <c r="K2" s="27"/>
      <c r="L2" s="28">
        <v>40</v>
      </c>
      <c r="M2" s="27">
        <f>J2/L2</f>
        <v>0</v>
      </c>
      <c r="N2" s="27">
        <f>M2*B2</f>
        <v>0</v>
      </c>
      <c r="O2" s="29"/>
      <c r="P2" s="29"/>
      <c r="Q2" s="29"/>
      <c r="R2" s="29"/>
      <c r="S2" s="29"/>
      <c r="T2" s="29"/>
      <c r="U2" s="29"/>
      <c r="V2" s="29"/>
      <c r="W2" s="38"/>
    </row>
    <row r="3" spans="1:23" ht="76.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/>
      <c r="K3" s="27"/>
      <c r="L3" s="28">
        <v>40</v>
      </c>
      <c r="M3" s="30">
        <f>J3/L3</f>
        <v>0</v>
      </c>
      <c r="N3" s="27">
        <f t="shared" ref="N3:N36" si="0">M3*B3</f>
        <v>0</v>
      </c>
      <c r="O3" s="29"/>
      <c r="P3" s="29"/>
      <c r="Q3" s="29"/>
      <c r="R3" s="29"/>
      <c r="S3" s="29"/>
      <c r="T3" s="29"/>
      <c r="U3" s="29"/>
      <c r="V3" s="29"/>
      <c r="W3" s="38"/>
    </row>
    <row r="4" spans="1:23" ht="89.2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/>
      <c r="K4" s="27"/>
      <c r="L4" s="28">
        <v>40</v>
      </c>
      <c r="M4" s="27">
        <f t="shared" ref="M4:M36" si="1">J4/L4</f>
        <v>0</v>
      </c>
      <c r="N4" s="27">
        <f t="shared" si="0"/>
        <v>0</v>
      </c>
      <c r="O4" s="29"/>
      <c r="P4" s="29"/>
      <c r="Q4" s="29"/>
      <c r="R4" s="29"/>
      <c r="S4" s="29"/>
      <c r="T4" s="29"/>
      <c r="U4" s="29"/>
      <c r="V4" s="29"/>
      <c r="W4" s="38"/>
    </row>
    <row r="5" spans="1:23" ht="114.7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/>
      <c r="K5" s="27"/>
      <c r="L5" s="28">
        <v>40</v>
      </c>
      <c r="M5" s="27">
        <f t="shared" si="1"/>
        <v>0</v>
      </c>
      <c r="N5" s="27">
        <f t="shared" si="0"/>
        <v>0</v>
      </c>
      <c r="O5" s="29"/>
      <c r="P5" s="29"/>
      <c r="Q5" s="29"/>
      <c r="R5" s="29"/>
      <c r="S5" s="29"/>
      <c r="T5" s="29"/>
      <c r="U5" s="29"/>
      <c r="V5" s="29"/>
      <c r="W5" s="39"/>
    </row>
    <row r="6" spans="1:23" ht="114.75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/>
      <c r="K6" s="27"/>
      <c r="L6" s="28">
        <v>40</v>
      </c>
      <c r="M6" s="27">
        <f t="shared" si="1"/>
        <v>0</v>
      </c>
      <c r="N6" s="27">
        <f t="shared" si="0"/>
        <v>0</v>
      </c>
      <c r="O6" s="29"/>
      <c r="P6" s="29"/>
      <c r="Q6" s="29"/>
      <c r="R6" s="29"/>
      <c r="S6" s="29"/>
      <c r="T6" s="29"/>
      <c r="U6" s="29"/>
      <c r="V6" s="29"/>
      <c r="W6" s="38"/>
    </row>
    <row r="7" spans="1:23" ht="153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/>
      <c r="K7" s="27"/>
      <c r="L7" s="28">
        <v>40</v>
      </c>
      <c r="M7" s="27">
        <f t="shared" si="1"/>
        <v>0</v>
      </c>
      <c r="N7" s="27">
        <f t="shared" si="0"/>
        <v>0</v>
      </c>
      <c r="O7" s="29"/>
      <c r="P7" s="29"/>
      <c r="Q7" s="29"/>
      <c r="R7" s="29"/>
      <c r="S7" s="29"/>
      <c r="T7" s="29"/>
      <c r="U7" s="29"/>
      <c r="V7" s="29"/>
      <c r="W7" s="38"/>
    </row>
    <row r="8" spans="1:23" ht="153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/>
      <c r="K8" s="27"/>
      <c r="L8" s="28">
        <v>40</v>
      </c>
      <c r="M8" s="27">
        <f t="shared" si="1"/>
        <v>0</v>
      </c>
      <c r="N8" s="27">
        <f t="shared" si="0"/>
        <v>0</v>
      </c>
      <c r="O8" s="29"/>
      <c r="P8" s="29"/>
      <c r="Q8" s="29"/>
      <c r="R8" s="29"/>
      <c r="S8" s="29"/>
      <c r="T8" s="29"/>
      <c r="U8" s="29"/>
      <c r="V8" s="29"/>
      <c r="W8" s="38"/>
    </row>
    <row r="9" spans="1:23" ht="89.2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27"/>
      <c r="L9" s="28"/>
      <c r="M9" s="27"/>
      <c r="N9" s="27"/>
      <c r="O9" s="29"/>
      <c r="P9" s="29"/>
      <c r="Q9" s="29"/>
      <c r="R9" s="29"/>
      <c r="S9" s="29"/>
      <c r="T9" s="29"/>
      <c r="U9" s="29"/>
      <c r="V9" s="29"/>
      <c r="W9" s="38"/>
    </row>
    <row r="10" spans="1:23" ht="89.2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27"/>
      <c r="L10" s="28">
        <v>40</v>
      </c>
      <c r="M10" s="27">
        <f t="shared" si="1"/>
        <v>0</v>
      </c>
      <c r="N10" s="27">
        <f t="shared" si="0"/>
        <v>0</v>
      </c>
      <c r="O10" s="29"/>
      <c r="P10" s="29"/>
      <c r="Q10" s="29"/>
      <c r="R10" s="29"/>
      <c r="S10" s="29"/>
      <c r="T10" s="29"/>
      <c r="U10" s="29"/>
      <c r="V10" s="29"/>
      <c r="W10" s="38"/>
    </row>
    <row r="11" spans="1:23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7"/>
      <c r="L11" s="28">
        <v>40</v>
      </c>
      <c r="M11" s="27">
        <f t="shared" si="1"/>
        <v>0</v>
      </c>
      <c r="N11" s="27">
        <f t="shared" si="0"/>
        <v>0</v>
      </c>
      <c r="O11" s="29"/>
      <c r="P11" s="29"/>
      <c r="Q11" s="29"/>
      <c r="R11" s="29"/>
      <c r="S11" s="29"/>
      <c r="T11" s="29"/>
      <c r="U11" s="29"/>
      <c r="V11" s="29"/>
      <c r="W11" s="38"/>
    </row>
    <row r="12" spans="1:23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7"/>
      <c r="L12" s="28">
        <v>40</v>
      </c>
      <c r="M12" s="27">
        <f>J12/L12</f>
        <v>0</v>
      </c>
      <c r="N12" s="27">
        <f t="shared" si="0"/>
        <v>0</v>
      </c>
      <c r="O12" s="29"/>
      <c r="P12" s="29"/>
      <c r="Q12" s="29"/>
      <c r="R12" s="29"/>
      <c r="S12" s="29"/>
      <c r="T12" s="29"/>
      <c r="U12" s="29"/>
      <c r="V12" s="29"/>
      <c r="W12" s="38"/>
    </row>
    <row r="13" spans="1:23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7"/>
      <c r="L13" s="28">
        <v>40</v>
      </c>
      <c r="M13" s="27">
        <f t="shared" si="1"/>
        <v>0</v>
      </c>
      <c r="N13" s="27">
        <f t="shared" si="0"/>
        <v>0</v>
      </c>
      <c r="O13" s="29"/>
      <c r="P13" s="29"/>
      <c r="Q13" s="29"/>
      <c r="R13" s="29"/>
      <c r="S13" s="29"/>
      <c r="T13" s="29"/>
      <c r="U13" s="29"/>
      <c r="V13" s="29"/>
      <c r="W13" s="38"/>
    </row>
    <row r="14" spans="1:23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7"/>
      <c r="L14" s="28">
        <v>40</v>
      </c>
      <c r="M14" s="27">
        <f t="shared" si="1"/>
        <v>0</v>
      </c>
      <c r="N14" s="27">
        <f t="shared" si="0"/>
        <v>0</v>
      </c>
      <c r="O14" s="29"/>
      <c r="P14" s="29"/>
      <c r="Q14" s="29"/>
      <c r="R14" s="29"/>
      <c r="S14" s="29"/>
      <c r="T14" s="29"/>
      <c r="U14" s="29"/>
      <c r="V14" s="29"/>
      <c r="W14" s="38"/>
    </row>
    <row r="15" spans="1:23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7"/>
      <c r="L15" s="28">
        <v>40</v>
      </c>
      <c r="M15" s="27">
        <f t="shared" si="1"/>
        <v>0</v>
      </c>
      <c r="N15" s="27">
        <f t="shared" si="0"/>
        <v>0</v>
      </c>
      <c r="O15" s="29"/>
      <c r="P15" s="29"/>
      <c r="Q15" s="29"/>
      <c r="R15" s="29"/>
      <c r="S15" s="29"/>
      <c r="T15" s="29"/>
      <c r="U15" s="29"/>
      <c r="V15" s="29"/>
      <c r="W15" s="38"/>
    </row>
    <row r="16" spans="1:23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7"/>
      <c r="L16" s="28">
        <v>40</v>
      </c>
      <c r="M16" s="27">
        <f t="shared" si="1"/>
        <v>0</v>
      </c>
      <c r="N16" s="27">
        <f t="shared" si="0"/>
        <v>0</v>
      </c>
      <c r="O16" s="29"/>
      <c r="P16" s="29"/>
      <c r="Q16" s="29"/>
      <c r="R16" s="29"/>
      <c r="S16" s="29"/>
      <c r="T16" s="29"/>
      <c r="U16" s="29"/>
      <c r="V16" s="29"/>
      <c r="W16" s="40"/>
    </row>
    <row r="17" spans="1:23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7"/>
      <c r="L17" s="28">
        <v>40</v>
      </c>
      <c r="M17" s="27">
        <f t="shared" si="1"/>
        <v>0</v>
      </c>
      <c r="N17" s="27">
        <f t="shared" si="0"/>
        <v>0</v>
      </c>
      <c r="O17" s="29"/>
      <c r="P17" s="29"/>
      <c r="Q17" s="29"/>
      <c r="R17" s="29"/>
      <c r="S17" s="29"/>
      <c r="T17" s="29"/>
      <c r="U17" s="29"/>
      <c r="V17" s="29"/>
      <c r="W17" s="38"/>
    </row>
    <row r="18" spans="1:23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7"/>
      <c r="L18" s="28">
        <v>40</v>
      </c>
      <c r="M18" s="27">
        <f t="shared" si="1"/>
        <v>0</v>
      </c>
      <c r="N18" s="27">
        <f t="shared" si="0"/>
        <v>0</v>
      </c>
      <c r="O18" s="29"/>
      <c r="P18" s="29"/>
      <c r="Q18" s="29"/>
      <c r="R18" s="29"/>
      <c r="S18" s="29"/>
      <c r="T18" s="29"/>
      <c r="U18" s="29"/>
      <c r="V18" s="29"/>
      <c r="W18" s="38"/>
    </row>
    <row r="19" spans="1:23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7"/>
      <c r="L19" s="28">
        <v>40</v>
      </c>
      <c r="M19" s="27">
        <f t="shared" si="1"/>
        <v>0</v>
      </c>
      <c r="N19" s="27">
        <f t="shared" si="0"/>
        <v>0</v>
      </c>
      <c r="O19" s="29"/>
      <c r="P19" s="29"/>
      <c r="Q19" s="29"/>
      <c r="R19" s="29"/>
      <c r="S19" s="29"/>
      <c r="T19" s="29"/>
      <c r="U19" s="29"/>
      <c r="V19" s="29"/>
      <c r="W19" s="38"/>
    </row>
    <row r="20" spans="1:23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7"/>
      <c r="L20" s="28">
        <v>40</v>
      </c>
      <c r="M20" s="27">
        <f t="shared" si="1"/>
        <v>0</v>
      </c>
      <c r="N20" s="27">
        <f t="shared" si="0"/>
        <v>0</v>
      </c>
      <c r="O20" s="29"/>
      <c r="P20" s="29"/>
      <c r="Q20" s="29"/>
      <c r="R20" s="29"/>
      <c r="S20" s="29"/>
      <c r="T20" s="29"/>
      <c r="U20" s="29"/>
      <c r="V20" s="29"/>
      <c r="W20" s="38"/>
    </row>
    <row r="21" spans="1:23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7"/>
      <c r="L21" s="28">
        <v>40</v>
      </c>
      <c r="M21" s="27">
        <f t="shared" si="1"/>
        <v>0</v>
      </c>
      <c r="N21" s="27">
        <f t="shared" si="0"/>
        <v>0</v>
      </c>
      <c r="O21" s="29"/>
      <c r="P21" s="29"/>
      <c r="Q21" s="29"/>
      <c r="R21" s="29"/>
      <c r="S21" s="29"/>
      <c r="T21" s="29"/>
      <c r="U21" s="29"/>
      <c r="V21" s="29"/>
      <c r="W21" s="40"/>
    </row>
    <row r="22" spans="1:23" ht="16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>
        <v>2805.14</v>
      </c>
      <c r="K22" s="27"/>
      <c r="L22" s="28">
        <v>40</v>
      </c>
      <c r="M22" s="27">
        <f t="shared" si="1"/>
        <v>70.128500000000003</v>
      </c>
      <c r="N22" s="27">
        <f t="shared" si="0"/>
        <v>2805.1400000000003</v>
      </c>
      <c r="O22" s="124" t="s">
        <v>322</v>
      </c>
      <c r="P22" s="124">
        <v>40</v>
      </c>
      <c r="Q22" s="29"/>
      <c r="R22" s="124" t="s">
        <v>277</v>
      </c>
      <c r="S22" s="112" t="s">
        <v>323</v>
      </c>
      <c r="T22" s="112" t="s">
        <v>324</v>
      </c>
      <c r="U22" s="112" t="s">
        <v>325</v>
      </c>
      <c r="V22" s="112" t="s">
        <v>326</v>
      </c>
      <c r="W22" s="38" t="s">
        <v>327</v>
      </c>
    </row>
    <row r="23" spans="1:23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7"/>
      <c r="L23" s="28">
        <v>40</v>
      </c>
      <c r="M23" s="27">
        <f t="shared" si="1"/>
        <v>0</v>
      </c>
      <c r="N23" s="27">
        <f t="shared" si="0"/>
        <v>0</v>
      </c>
      <c r="O23" s="29"/>
      <c r="P23" s="29"/>
      <c r="Q23" s="29"/>
      <c r="R23" s="29"/>
      <c r="S23" s="29"/>
      <c r="T23" s="29"/>
      <c r="U23" s="29"/>
      <c r="V23" s="29"/>
      <c r="W23" s="38"/>
    </row>
    <row r="24" spans="1:23" ht="240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>
        <v>2805.14</v>
      </c>
      <c r="K24" s="27"/>
      <c r="L24" s="28">
        <v>40</v>
      </c>
      <c r="M24" s="27">
        <f t="shared" si="1"/>
        <v>70.128500000000003</v>
      </c>
      <c r="N24" s="27">
        <f t="shared" si="0"/>
        <v>2805.1400000000003</v>
      </c>
      <c r="O24" s="112" t="s">
        <v>328</v>
      </c>
      <c r="P24" s="124">
        <v>40</v>
      </c>
      <c r="Q24" s="124"/>
      <c r="R24" s="124" t="s">
        <v>329</v>
      </c>
      <c r="S24" s="112" t="s">
        <v>323</v>
      </c>
      <c r="T24" s="124" t="s">
        <v>330</v>
      </c>
      <c r="U24" s="124" t="s">
        <v>331</v>
      </c>
      <c r="V24" s="112" t="s">
        <v>332</v>
      </c>
      <c r="W24" s="38" t="s">
        <v>333</v>
      </c>
    </row>
    <row r="25" spans="1:23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7"/>
      <c r="L25" s="28">
        <v>40</v>
      </c>
      <c r="M25" s="27">
        <f t="shared" si="1"/>
        <v>0</v>
      </c>
      <c r="N25" s="27">
        <f t="shared" si="0"/>
        <v>0</v>
      </c>
      <c r="O25" s="29"/>
      <c r="P25" s="29"/>
      <c r="Q25" s="29"/>
      <c r="R25" s="29"/>
      <c r="S25" s="29"/>
      <c r="T25" s="29"/>
      <c r="U25" s="29"/>
      <c r="V25" s="29"/>
      <c r="W25" s="40"/>
    </row>
    <row r="26" spans="1:23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7"/>
      <c r="L26" s="28">
        <v>40</v>
      </c>
      <c r="M26" s="27">
        <f>J26/L26</f>
        <v>0</v>
      </c>
      <c r="N26" s="27">
        <f>M26*B26</f>
        <v>0</v>
      </c>
      <c r="O26" s="29"/>
      <c r="P26" s="29"/>
      <c r="Q26" s="29"/>
      <c r="R26" s="29"/>
      <c r="S26" s="29"/>
      <c r="T26" s="29"/>
      <c r="U26" s="29"/>
      <c r="V26" s="29"/>
      <c r="W26" s="38"/>
    </row>
    <row r="27" spans="1:23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>
        <v>4494.4799999999996</v>
      </c>
      <c r="K27" s="27"/>
      <c r="L27" s="28">
        <v>40</v>
      </c>
      <c r="M27" s="27">
        <f t="shared" si="1"/>
        <v>112.36199999999999</v>
      </c>
      <c r="N27" s="27">
        <f t="shared" si="0"/>
        <v>3370.8599999999997</v>
      </c>
      <c r="O27" s="124" t="s">
        <v>334</v>
      </c>
      <c r="P27" s="124">
        <v>30</v>
      </c>
      <c r="Q27" s="124"/>
      <c r="R27" s="124" t="s">
        <v>277</v>
      </c>
      <c r="S27" s="112" t="s">
        <v>323</v>
      </c>
      <c r="T27" s="112" t="s">
        <v>335</v>
      </c>
      <c r="U27" s="124" t="s">
        <v>331</v>
      </c>
      <c r="V27" s="112" t="s">
        <v>336</v>
      </c>
      <c r="W27" s="130" t="s">
        <v>337</v>
      </c>
    </row>
    <row r="28" spans="1:23" ht="300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>
        <v>4494.4799999999996</v>
      </c>
      <c r="K28" s="27"/>
      <c r="L28" s="28">
        <v>40</v>
      </c>
      <c r="M28" s="27">
        <f t="shared" si="1"/>
        <v>112.36199999999999</v>
      </c>
      <c r="N28" s="27">
        <f t="shared" si="0"/>
        <v>4494.4799999999996</v>
      </c>
      <c r="O28" s="124" t="s">
        <v>338</v>
      </c>
      <c r="P28" s="124">
        <v>40</v>
      </c>
      <c r="Q28" s="29"/>
      <c r="R28" s="124" t="s">
        <v>277</v>
      </c>
      <c r="S28" s="112" t="s">
        <v>323</v>
      </c>
      <c r="T28" s="112" t="s">
        <v>339</v>
      </c>
      <c r="U28" s="124" t="s">
        <v>331</v>
      </c>
      <c r="V28" s="112" t="s">
        <v>340</v>
      </c>
      <c r="W28" s="130" t="s">
        <v>341</v>
      </c>
    </row>
    <row r="29" spans="1:23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132"/>
      <c r="K29" s="27"/>
      <c r="L29" s="28">
        <v>40</v>
      </c>
      <c r="M29" s="27">
        <f t="shared" si="1"/>
        <v>0</v>
      </c>
      <c r="N29" s="27">
        <f t="shared" si="0"/>
        <v>0</v>
      </c>
      <c r="O29" s="29"/>
      <c r="P29" s="29"/>
      <c r="Q29" s="29"/>
      <c r="R29" s="29"/>
      <c r="S29" s="29"/>
      <c r="T29" s="29"/>
      <c r="U29" s="29"/>
      <c r="V29" s="29"/>
      <c r="W29" s="38"/>
    </row>
    <row r="30" spans="1:23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7"/>
      <c r="L30" s="28">
        <v>40</v>
      </c>
      <c r="M30" s="27">
        <f t="shared" si="1"/>
        <v>0</v>
      </c>
      <c r="N30" s="27">
        <f t="shared" si="0"/>
        <v>0</v>
      </c>
      <c r="O30" s="29"/>
      <c r="P30" s="29"/>
      <c r="Q30" s="29"/>
      <c r="R30" s="29"/>
      <c r="S30" s="29"/>
      <c r="T30" s="29"/>
      <c r="U30" s="29"/>
      <c r="V30" s="29"/>
      <c r="W30" s="38"/>
    </row>
    <row r="31" spans="1:23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7"/>
      <c r="L31" s="28">
        <v>40</v>
      </c>
      <c r="M31" s="27">
        <f>J31/L31</f>
        <v>0</v>
      </c>
      <c r="N31" s="27">
        <f>M31*B31</f>
        <v>0</v>
      </c>
      <c r="O31" s="29"/>
      <c r="P31" s="29"/>
      <c r="Q31" s="29"/>
      <c r="R31" s="29"/>
      <c r="S31" s="29"/>
      <c r="T31" s="29"/>
      <c r="U31" s="29"/>
      <c r="V31" s="29"/>
      <c r="W31" s="38"/>
    </row>
    <row r="32" spans="1:23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7"/>
      <c r="L32" s="28">
        <v>40</v>
      </c>
      <c r="M32" s="27">
        <f>J32/L32</f>
        <v>0</v>
      </c>
      <c r="N32" s="27">
        <f>M32*B32</f>
        <v>0</v>
      </c>
      <c r="O32" s="29"/>
      <c r="P32" s="29"/>
      <c r="Q32" s="29"/>
      <c r="R32" s="29"/>
      <c r="S32" s="29"/>
      <c r="T32" s="29"/>
      <c r="U32" s="29"/>
      <c r="V32" s="29"/>
      <c r="W32" s="38"/>
    </row>
    <row r="33" spans="1:23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7"/>
      <c r="L33" s="28">
        <v>40</v>
      </c>
      <c r="M33" s="27">
        <f t="shared" si="1"/>
        <v>0</v>
      </c>
      <c r="N33" s="27">
        <f t="shared" si="0"/>
        <v>0</v>
      </c>
      <c r="O33" s="29"/>
      <c r="P33" s="29"/>
      <c r="Q33" s="29"/>
      <c r="R33" s="29"/>
      <c r="S33" s="29"/>
      <c r="T33" s="29"/>
      <c r="U33" s="29"/>
      <c r="V33" s="29"/>
      <c r="W33" s="38"/>
    </row>
    <row r="34" spans="1:23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7"/>
      <c r="L34" s="28">
        <v>40</v>
      </c>
      <c r="M34" s="27">
        <f t="shared" si="1"/>
        <v>0</v>
      </c>
      <c r="N34" s="27">
        <f t="shared" si="0"/>
        <v>0</v>
      </c>
      <c r="O34" s="29"/>
      <c r="P34" s="29"/>
      <c r="Q34" s="29"/>
      <c r="R34" s="29"/>
      <c r="S34" s="29"/>
      <c r="T34" s="29"/>
      <c r="U34" s="29"/>
      <c r="V34" s="29"/>
      <c r="W34" s="38"/>
    </row>
    <row r="35" spans="1:23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7"/>
      <c r="L35" s="28">
        <v>40</v>
      </c>
      <c r="M35" s="27">
        <f>J35/L35</f>
        <v>0</v>
      </c>
      <c r="N35" s="27">
        <f>M35*B35</f>
        <v>0</v>
      </c>
      <c r="O35" s="29"/>
      <c r="P35" s="29"/>
      <c r="Q35" s="29"/>
      <c r="R35" s="29"/>
      <c r="S35" s="29"/>
      <c r="T35" s="29"/>
      <c r="U35" s="29"/>
      <c r="V35" s="29"/>
      <c r="W35" s="38"/>
    </row>
    <row r="36" spans="1:23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2"/>
      <c r="L36" s="43">
        <v>40</v>
      </c>
      <c r="M36" s="42">
        <f t="shared" si="1"/>
        <v>0</v>
      </c>
      <c r="N36" s="42">
        <f t="shared" si="0"/>
        <v>0</v>
      </c>
      <c r="O36" s="44"/>
      <c r="P36" s="44"/>
      <c r="Q36" s="44"/>
      <c r="R36" s="44"/>
      <c r="S36" s="44"/>
      <c r="T36" s="44"/>
      <c r="U36" s="44"/>
      <c r="V36" s="44"/>
      <c r="W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6"/>
  <sheetViews>
    <sheetView topLeftCell="A39" zoomScale="70" zoomScaleNormal="70" workbookViewId="0">
      <selection activeCell="C21" sqref="C21:C36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20.5703125" style="123" customWidth="1"/>
    <col min="10" max="10" width="16" style="7" customWidth="1"/>
    <col min="11" max="11" width="11.85546875" style="8" customWidth="1"/>
    <col min="12" max="12" width="15" style="7" customWidth="1"/>
    <col min="13" max="13" width="16.7109375" style="7" customWidth="1"/>
    <col min="14" max="14" width="21.7109375" style="22" customWidth="1"/>
    <col min="15" max="15" width="9.7109375" style="22" customWidth="1"/>
    <col min="16" max="16" width="7.7109375" style="22" bestFit="1" customWidth="1"/>
    <col min="17" max="17" width="16.42578125" style="22" customWidth="1"/>
    <col min="18" max="18" width="36.42578125" style="22" bestFit="1" customWidth="1"/>
    <col min="19" max="19" width="10.5703125" style="22" customWidth="1"/>
    <col min="20" max="20" width="9" style="22" customWidth="1"/>
    <col min="21" max="21" width="57.5703125" style="22" customWidth="1"/>
    <col min="22" max="22" width="38" style="7" bestFit="1" customWidth="1"/>
  </cols>
  <sheetData>
    <row r="1" spans="1:22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36" t="s">
        <v>13</v>
      </c>
    </row>
    <row r="2" spans="1:22" ht="120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>
        <v>3487.02</v>
      </c>
      <c r="K2" s="28">
        <v>44</v>
      </c>
      <c r="L2" s="27">
        <f>J2/K2</f>
        <v>79.250454545454545</v>
      </c>
      <c r="M2" s="27">
        <f>L2*B2</f>
        <v>3170.0181818181818</v>
      </c>
      <c r="N2" s="112" t="s">
        <v>342</v>
      </c>
      <c r="O2" s="112">
        <v>40</v>
      </c>
      <c r="P2" s="112" t="s">
        <v>343</v>
      </c>
      <c r="Q2" s="112" t="s">
        <v>15</v>
      </c>
      <c r="R2" s="112"/>
      <c r="S2" s="112" t="s">
        <v>344</v>
      </c>
      <c r="T2" s="112" t="s">
        <v>345</v>
      </c>
      <c r="U2" s="112" t="s">
        <v>346</v>
      </c>
      <c r="V2" s="38" t="s">
        <v>347</v>
      </c>
    </row>
    <row r="3" spans="1:22" ht="150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>
        <v>4044.2</v>
      </c>
      <c r="K3" s="28">
        <v>44</v>
      </c>
      <c r="L3" s="27">
        <f>J3/K3</f>
        <v>91.913636363636357</v>
      </c>
      <c r="M3" s="27">
        <f>L3*B3</f>
        <v>3676.545454545454</v>
      </c>
      <c r="N3" s="112" t="s">
        <v>348</v>
      </c>
      <c r="O3" s="112">
        <v>40</v>
      </c>
      <c r="P3" s="112" t="s">
        <v>349</v>
      </c>
      <c r="Q3" s="112" t="s">
        <v>15</v>
      </c>
      <c r="R3" s="112"/>
      <c r="S3" s="112" t="s">
        <v>350</v>
      </c>
      <c r="T3" s="112" t="s">
        <v>351</v>
      </c>
      <c r="U3" s="112" t="s">
        <v>352</v>
      </c>
      <c r="V3" s="38" t="s">
        <v>353</v>
      </c>
    </row>
    <row r="4" spans="1:22" ht="150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>
        <v>4650.59</v>
      </c>
      <c r="K4" s="28">
        <v>44</v>
      </c>
      <c r="L4" s="27">
        <f>J4/K4</f>
        <v>105.69522727272728</v>
      </c>
      <c r="M4" s="27">
        <f>L4*B4</f>
        <v>4227.8090909090915</v>
      </c>
      <c r="N4" s="112" t="s">
        <v>354</v>
      </c>
      <c r="O4" s="112">
        <v>40</v>
      </c>
      <c r="P4" s="112" t="s">
        <v>355</v>
      </c>
      <c r="Q4" s="112" t="s">
        <v>15</v>
      </c>
      <c r="R4" s="112"/>
      <c r="S4" s="112" t="s">
        <v>356</v>
      </c>
      <c r="T4" s="112" t="s">
        <v>357</v>
      </c>
      <c r="U4" s="112" t="s">
        <v>352</v>
      </c>
      <c r="V4" s="38" t="s">
        <v>358</v>
      </c>
    </row>
    <row r="5" spans="1:22" ht="114.7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116"/>
      <c r="K5" s="115"/>
      <c r="L5" s="114"/>
      <c r="M5" s="114"/>
      <c r="N5" s="112"/>
      <c r="O5" s="112"/>
      <c r="P5" s="112"/>
      <c r="Q5" s="112"/>
      <c r="R5" s="112"/>
      <c r="S5" s="112"/>
      <c r="T5" s="112"/>
      <c r="U5" s="112"/>
      <c r="V5" s="39"/>
    </row>
    <row r="6" spans="1:22" ht="240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>
        <v>6156.94</v>
      </c>
      <c r="K6" s="28">
        <v>44</v>
      </c>
      <c r="L6" s="27">
        <f>J6/K6</f>
        <v>139.93045454545452</v>
      </c>
      <c r="M6" s="27">
        <f>L6*B5</f>
        <v>5597.2181818181807</v>
      </c>
      <c r="N6" s="112" t="s">
        <v>359</v>
      </c>
      <c r="O6" s="112">
        <v>40</v>
      </c>
      <c r="P6" s="112">
        <v>252105</v>
      </c>
      <c r="Q6" s="112" t="s">
        <v>360</v>
      </c>
      <c r="R6" s="112"/>
      <c r="S6" s="112" t="s">
        <v>344</v>
      </c>
      <c r="T6" s="112" t="s">
        <v>361</v>
      </c>
      <c r="U6" s="112" t="s">
        <v>362</v>
      </c>
      <c r="V6" s="38" t="s">
        <v>363</v>
      </c>
    </row>
    <row r="7" spans="1:22" ht="285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>
        <v>6784.71</v>
      </c>
      <c r="K7" s="28">
        <v>44</v>
      </c>
      <c r="L7" s="27">
        <f>J7/K7</f>
        <v>154.19795454545454</v>
      </c>
      <c r="M7" s="27">
        <f>L7*B6</f>
        <v>6167.9181818181814</v>
      </c>
      <c r="N7" s="112" t="s">
        <v>364</v>
      </c>
      <c r="O7" s="112">
        <v>40</v>
      </c>
      <c r="P7" s="112">
        <v>252105</v>
      </c>
      <c r="Q7" s="112" t="s">
        <v>360</v>
      </c>
      <c r="R7" s="112" t="s">
        <v>365</v>
      </c>
      <c r="S7" s="112" t="s">
        <v>350</v>
      </c>
      <c r="T7" s="112" t="s">
        <v>345</v>
      </c>
      <c r="U7" s="112" t="s">
        <v>366</v>
      </c>
      <c r="V7" s="38" t="s">
        <v>367</v>
      </c>
    </row>
    <row r="8" spans="1:22" ht="285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>
        <v>7484.91</v>
      </c>
      <c r="K8" s="28">
        <v>44</v>
      </c>
      <c r="L8" s="27">
        <f>J8/K8</f>
        <v>170.11159090909089</v>
      </c>
      <c r="M8" s="27">
        <f>L8*B7</f>
        <v>6804.4636363636355</v>
      </c>
      <c r="N8" s="112" t="s">
        <v>368</v>
      </c>
      <c r="O8" s="112">
        <v>40</v>
      </c>
      <c r="P8" s="112">
        <v>252105</v>
      </c>
      <c r="Q8" s="112" t="s">
        <v>360</v>
      </c>
      <c r="R8" s="112" t="s">
        <v>365</v>
      </c>
      <c r="S8" s="112" t="s">
        <v>356</v>
      </c>
      <c r="T8" s="112" t="s">
        <v>351</v>
      </c>
      <c r="U8" s="112" t="s">
        <v>366</v>
      </c>
      <c r="V8" s="38" t="s">
        <v>369</v>
      </c>
    </row>
    <row r="9" spans="1:22" ht="89.2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28"/>
      <c r="L9" s="27"/>
      <c r="M9" s="27"/>
      <c r="N9" s="112"/>
      <c r="O9" s="112"/>
      <c r="P9" s="112"/>
      <c r="Q9" s="112"/>
      <c r="R9" s="112"/>
      <c r="S9" s="112"/>
      <c r="T9" s="112"/>
      <c r="U9" s="112"/>
      <c r="V9" s="38"/>
    </row>
    <row r="10" spans="1:22" ht="89.2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28"/>
      <c r="L10" s="27"/>
      <c r="M10" s="27"/>
      <c r="N10" s="112"/>
      <c r="O10" s="112"/>
      <c r="P10" s="112"/>
      <c r="Q10" s="112"/>
      <c r="R10" s="112"/>
      <c r="S10" s="112"/>
      <c r="T10" s="112"/>
      <c r="U10" s="112"/>
      <c r="V10" s="38"/>
    </row>
    <row r="11" spans="1:22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8"/>
      <c r="L11" s="27"/>
      <c r="M11" s="27"/>
      <c r="N11" s="112"/>
      <c r="O11" s="112"/>
      <c r="P11" s="112"/>
      <c r="Q11" s="112"/>
      <c r="R11" s="112"/>
      <c r="S11" s="112"/>
      <c r="T11" s="112"/>
      <c r="U11" s="112"/>
      <c r="V11" s="38"/>
    </row>
    <row r="12" spans="1:22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8"/>
      <c r="L12" s="27"/>
      <c r="M12" s="27"/>
      <c r="N12" s="112"/>
      <c r="O12" s="112"/>
      <c r="P12" s="112"/>
      <c r="Q12" s="112"/>
      <c r="R12" s="112"/>
      <c r="S12" s="112"/>
      <c r="T12" s="112"/>
      <c r="U12" s="112"/>
      <c r="V12" s="38"/>
    </row>
    <row r="13" spans="1:22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/>
      <c r="L13" s="27"/>
      <c r="M13" s="27"/>
      <c r="N13" s="112"/>
      <c r="O13" s="112"/>
      <c r="P13" s="112"/>
      <c r="Q13" s="112"/>
      <c r="R13" s="112"/>
      <c r="S13" s="112"/>
      <c r="T13" s="112"/>
      <c r="U13" s="112"/>
      <c r="V13" s="38"/>
    </row>
    <row r="14" spans="1:22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8"/>
      <c r="L14" s="27"/>
      <c r="M14" s="27"/>
      <c r="N14" s="112"/>
      <c r="O14" s="112"/>
      <c r="P14" s="112"/>
      <c r="Q14" s="112"/>
      <c r="R14" s="112"/>
      <c r="S14" s="112"/>
      <c r="T14" s="112"/>
      <c r="U14" s="112"/>
      <c r="V14" s="38"/>
    </row>
    <row r="15" spans="1:22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8"/>
      <c r="L15" s="27"/>
      <c r="M15" s="27"/>
      <c r="N15" s="112"/>
      <c r="O15" s="112"/>
      <c r="P15" s="112"/>
      <c r="Q15" s="112"/>
      <c r="R15" s="112"/>
      <c r="S15" s="112"/>
      <c r="T15" s="112"/>
      <c r="U15" s="112"/>
      <c r="V15" s="38"/>
    </row>
    <row r="16" spans="1:22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8"/>
      <c r="L16" s="27"/>
      <c r="M16" s="27"/>
      <c r="N16" s="112"/>
      <c r="O16" s="112"/>
      <c r="P16" s="112"/>
      <c r="Q16" s="112"/>
      <c r="R16" s="112"/>
      <c r="S16" s="112"/>
      <c r="T16" s="112"/>
      <c r="U16" s="112"/>
      <c r="V16" s="40"/>
    </row>
    <row r="17" spans="1:22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/>
      <c r="L17" s="27"/>
      <c r="M17" s="27"/>
      <c r="N17" s="112"/>
      <c r="O17" s="112"/>
      <c r="P17" s="112"/>
      <c r="Q17" s="112"/>
      <c r="R17" s="112"/>
      <c r="S17" s="112"/>
      <c r="T17" s="112"/>
      <c r="U17" s="112"/>
      <c r="V17" s="38"/>
    </row>
    <row r="18" spans="1:22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/>
      <c r="L18" s="27"/>
      <c r="M18" s="27"/>
      <c r="N18" s="112"/>
      <c r="O18" s="112"/>
      <c r="P18" s="112"/>
      <c r="Q18" s="112"/>
      <c r="R18" s="112"/>
      <c r="S18" s="112"/>
      <c r="T18" s="112"/>
      <c r="U18" s="112"/>
      <c r="V18" s="38"/>
    </row>
    <row r="19" spans="1:22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8"/>
      <c r="L19" s="27"/>
      <c r="M19" s="27"/>
      <c r="N19" s="112"/>
      <c r="O19" s="112"/>
      <c r="P19" s="112"/>
      <c r="Q19" s="112"/>
      <c r="R19" s="112"/>
      <c r="S19" s="112"/>
      <c r="T19" s="112"/>
      <c r="U19" s="112"/>
      <c r="V19" s="38"/>
    </row>
    <row r="20" spans="1:22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8"/>
      <c r="L20" s="27"/>
      <c r="M20" s="27"/>
      <c r="N20" s="112"/>
      <c r="O20" s="112"/>
      <c r="P20" s="112"/>
      <c r="Q20" s="112"/>
      <c r="R20" s="112"/>
      <c r="S20" s="112"/>
      <c r="T20" s="112"/>
      <c r="U20" s="112"/>
      <c r="V20" s="38"/>
    </row>
    <row r="21" spans="1:22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8"/>
      <c r="L21" s="27"/>
      <c r="M21" s="27"/>
      <c r="N21" s="112"/>
      <c r="O21" s="112"/>
      <c r="P21" s="112"/>
      <c r="Q21" s="112"/>
      <c r="R21" s="112"/>
      <c r="S21" s="112"/>
      <c r="T21" s="112"/>
      <c r="U21" s="112"/>
      <c r="V21" s="40"/>
    </row>
    <row r="22" spans="1:22" ht="140.2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8"/>
      <c r="L22" s="27"/>
      <c r="M22" s="27"/>
      <c r="N22" s="112"/>
      <c r="O22" s="112"/>
      <c r="P22" s="112"/>
      <c r="Q22" s="112"/>
      <c r="R22" s="112"/>
      <c r="S22" s="112"/>
      <c r="T22" s="112"/>
      <c r="U22" s="112"/>
      <c r="V22" s="40"/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/>
      <c r="L23" s="27"/>
      <c r="M23" s="27"/>
      <c r="N23" s="112"/>
      <c r="O23" s="112"/>
      <c r="P23" s="112"/>
      <c r="Q23" s="112"/>
      <c r="R23" s="112"/>
      <c r="S23" s="112"/>
      <c r="T23" s="112"/>
      <c r="U23" s="112"/>
      <c r="V23" s="38"/>
    </row>
    <row r="24" spans="1:22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/>
      <c r="L24" s="27"/>
      <c r="M24" s="27"/>
      <c r="N24" s="112"/>
      <c r="O24" s="112"/>
      <c r="P24" s="112"/>
      <c r="Q24" s="112"/>
      <c r="R24" s="112"/>
      <c r="S24" s="112"/>
      <c r="T24" s="112"/>
      <c r="U24" s="112"/>
      <c r="V24" s="38"/>
    </row>
    <row r="25" spans="1:22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/>
      <c r="L25" s="27"/>
      <c r="M25" s="27"/>
      <c r="N25" s="112"/>
      <c r="O25" s="112"/>
      <c r="P25" s="112"/>
      <c r="Q25" s="112"/>
      <c r="R25" s="112"/>
      <c r="S25" s="112"/>
      <c r="T25" s="112"/>
      <c r="U25" s="112"/>
      <c r="V25" s="40"/>
    </row>
    <row r="26" spans="1:22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8"/>
      <c r="L26" s="27"/>
      <c r="M26" s="27"/>
      <c r="N26" s="112"/>
      <c r="O26" s="112"/>
      <c r="P26" s="112"/>
      <c r="Q26" s="112"/>
      <c r="R26" s="112"/>
      <c r="S26" s="112"/>
      <c r="T26" s="112"/>
      <c r="U26" s="112"/>
      <c r="V26" s="38"/>
    </row>
    <row r="27" spans="1:22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8"/>
      <c r="L27" s="27"/>
      <c r="M27" s="27"/>
      <c r="N27" s="112"/>
      <c r="O27" s="112"/>
      <c r="P27" s="112"/>
      <c r="Q27" s="112"/>
      <c r="R27" s="112"/>
      <c r="S27" s="112"/>
      <c r="T27" s="112"/>
      <c r="U27" s="112"/>
      <c r="V27" s="38"/>
    </row>
    <row r="28" spans="1:22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8"/>
      <c r="L28" s="27"/>
      <c r="M28" s="27"/>
      <c r="N28" s="112"/>
      <c r="O28" s="112"/>
      <c r="P28" s="112"/>
      <c r="Q28" s="112"/>
      <c r="R28" s="112"/>
      <c r="S28" s="112"/>
      <c r="T28" s="112"/>
      <c r="U28" s="112"/>
      <c r="V28" s="38"/>
    </row>
    <row r="29" spans="1:22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8"/>
      <c r="L29" s="27"/>
      <c r="M29" s="27"/>
      <c r="N29" s="112"/>
      <c r="O29" s="112"/>
      <c r="P29" s="112"/>
      <c r="Q29" s="112"/>
      <c r="R29" s="112"/>
      <c r="S29" s="112"/>
      <c r="T29" s="112"/>
      <c r="U29" s="112"/>
      <c r="V29" s="38"/>
    </row>
    <row r="30" spans="1:22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8"/>
      <c r="L30" s="27"/>
      <c r="M30" s="27"/>
      <c r="N30" s="112"/>
      <c r="O30" s="112"/>
      <c r="P30" s="112"/>
      <c r="Q30" s="112"/>
      <c r="R30" s="112"/>
      <c r="S30" s="112"/>
      <c r="T30" s="112"/>
      <c r="U30" s="112"/>
      <c r="V30" s="38"/>
    </row>
    <row r="31" spans="1:22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8"/>
      <c r="L31" s="27"/>
      <c r="M31" s="27"/>
      <c r="N31" s="112"/>
      <c r="O31" s="112"/>
      <c r="P31" s="112"/>
      <c r="Q31" s="112"/>
      <c r="R31" s="112"/>
      <c r="S31" s="112"/>
      <c r="T31" s="112"/>
      <c r="U31" s="112"/>
      <c r="V31" s="38"/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/>
      <c r="L32" s="27"/>
      <c r="M32" s="27"/>
      <c r="N32" s="112"/>
      <c r="O32" s="112"/>
      <c r="P32" s="112"/>
      <c r="Q32" s="112"/>
      <c r="R32" s="112"/>
      <c r="S32" s="112"/>
      <c r="T32" s="112"/>
      <c r="U32" s="112"/>
      <c r="V32" s="38"/>
    </row>
    <row r="33" spans="1:22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8"/>
      <c r="L33" s="27"/>
      <c r="M33" s="27"/>
      <c r="N33" s="112"/>
      <c r="O33" s="112"/>
      <c r="P33" s="112"/>
      <c r="Q33" s="112"/>
      <c r="R33" s="112"/>
      <c r="S33" s="112"/>
      <c r="T33" s="112"/>
      <c r="U33" s="112"/>
      <c r="V33" s="38"/>
    </row>
    <row r="34" spans="1:22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8">
        <v>40</v>
      </c>
      <c r="L34" s="27"/>
      <c r="M34" s="27"/>
      <c r="N34" s="112"/>
      <c r="O34" s="112"/>
      <c r="P34" s="112"/>
      <c r="Q34" s="112"/>
      <c r="R34" s="112"/>
      <c r="S34" s="112"/>
      <c r="T34" s="112"/>
      <c r="U34" s="112"/>
      <c r="V34" s="38"/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/>
      <c r="M35" s="27"/>
      <c r="N35" s="112"/>
      <c r="O35" s="112"/>
      <c r="P35" s="112"/>
      <c r="Q35" s="112"/>
      <c r="R35" s="112"/>
      <c r="S35" s="112"/>
      <c r="T35" s="112"/>
      <c r="U35" s="112"/>
      <c r="V35" s="38"/>
    </row>
    <row r="36" spans="1:22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3"/>
      <c r="L36" s="42"/>
      <c r="M36" s="42"/>
      <c r="N36" s="113"/>
      <c r="O36" s="113"/>
      <c r="P36" s="113"/>
      <c r="Q36" s="113"/>
      <c r="R36" s="113"/>
      <c r="S36" s="113"/>
      <c r="T36" s="113"/>
      <c r="U36" s="113"/>
      <c r="V36" s="45"/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6"/>
  <sheetViews>
    <sheetView zoomScale="95" zoomScaleNormal="95" workbookViewId="0">
      <pane ySplit="1" topLeftCell="A38" activePane="bottomLeft" state="frozen"/>
      <selection activeCell="C31" sqref="C31"/>
      <selection pane="bottomLeft" activeCell="C21" sqref="C21:C36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4.140625" style="123" customWidth="1"/>
    <col min="10" max="10" width="11.85546875" style="7" customWidth="1"/>
    <col min="11" max="11" width="11.85546875" style="8" customWidth="1"/>
    <col min="12" max="12" width="11.140625" style="7" customWidth="1"/>
    <col min="13" max="13" width="12.85546875" style="7" customWidth="1"/>
    <col min="14" max="14" width="21.7109375" customWidth="1"/>
    <col min="15" max="15" width="9.7109375" customWidth="1"/>
    <col min="16" max="16" width="7.7109375" bestFit="1" customWidth="1"/>
    <col min="17" max="17" width="16.42578125" customWidth="1"/>
    <col min="18" max="18" width="36.42578125" bestFit="1" customWidth="1"/>
    <col min="19" max="19" width="10.5703125" customWidth="1"/>
    <col min="20" max="20" width="9" customWidth="1"/>
    <col min="21" max="21" width="57.5703125" customWidth="1"/>
    <col min="22" max="22" width="38" style="7" bestFit="1" customWidth="1"/>
  </cols>
  <sheetData>
    <row r="1" spans="1:22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36" t="s">
        <v>13</v>
      </c>
    </row>
    <row r="2" spans="1:22" ht="240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>
        <v>2612.44</v>
      </c>
      <c r="K2" s="28">
        <v>40</v>
      </c>
      <c r="L2" s="27">
        <f t="shared" ref="L2:L8" si="0">J2/K2</f>
        <v>65.311000000000007</v>
      </c>
      <c r="M2" s="27">
        <f t="shared" ref="M2:M8" si="1">L2*B2</f>
        <v>2612.4400000000005</v>
      </c>
      <c r="N2" s="112" t="s">
        <v>370</v>
      </c>
      <c r="O2" s="124">
        <v>40</v>
      </c>
      <c r="P2" s="112" t="s">
        <v>371</v>
      </c>
      <c r="Q2" s="124" t="s">
        <v>372</v>
      </c>
      <c r="R2" s="112" t="s">
        <v>373</v>
      </c>
      <c r="S2" s="112" t="s">
        <v>374</v>
      </c>
      <c r="T2" s="112" t="s">
        <v>17</v>
      </c>
      <c r="U2" s="112" t="s">
        <v>375</v>
      </c>
      <c r="V2" s="130" t="s">
        <v>376</v>
      </c>
    </row>
    <row r="3" spans="1:22" ht="76.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/>
      <c r="K3" s="28">
        <v>40</v>
      </c>
      <c r="L3" s="30">
        <f t="shared" si="0"/>
        <v>0</v>
      </c>
      <c r="M3" s="27">
        <f t="shared" si="1"/>
        <v>0</v>
      </c>
      <c r="N3" s="29"/>
      <c r="O3" s="29"/>
      <c r="P3" s="29"/>
      <c r="Q3" s="29"/>
      <c r="R3" s="29"/>
      <c r="S3" s="29"/>
      <c r="T3" s="29"/>
      <c r="U3" s="29"/>
      <c r="V3" s="38"/>
    </row>
    <row r="4" spans="1:22" ht="89.2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/>
      <c r="K4" s="28">
        <v>40</v>
      </c>
      <c r="L4" s="27">
        <f t="shared" si="0"/>
        <v>0</v>
      </c>
      <c r="M4" s="27">
        <f t="shared" si="1"/>
        <v>0</v>
      </c>
      <c r="N4" s="29"/>
      <c r="O4" s="29"/>
      <c r="P4" s="29"/>
      <c r="Q4" s="29"/>
      <c r="R4" s="29"/>
      <c r="S4" s="29"/>
      <c r="T4" s="29"/>
      <c r="U4" s="29"/>
      <c r="V4" s="38"/>
    </row>
    <row r="5" spans="1:22" ht="22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>
        <v>3064.84</v>
      </c>
      <c r="K5" s="28">
        <v>40</v>
      </c>
      <c r="L5" s="27">
        <f t="shared" si="0"/>
        <v>76.621000000000009</v>
      </c>
      <c r="M5" s="27">
        <f t="shared" si="1"/>
        <v>3064.84</v>
      </c>
      <c r="N5" s="112" t="s">
        <v>377</v>
      </c>
      <c r="O5" s="124">
        <v>40</v>
      </c>
      <c r="P5" s="112" t="s">
        <v>378</v>
      </c>
      <c r="Q5" s="124" t="s">
        <v>277</v>
      </c>
      <c r="R5" s="29"/>
      <c r="S5" s="112" t="s">
        <v>379</v>
      </c>
      <c r="T5" s="124" t="s">
        <v>17</v>
      </c>
      <c r="U5" s="112" t="s">
        <v>380</v>
      </c>
      <c r="V5" s="38" t="s">
        <v>381</v>
      </c>
    </row>
    <row r="6" spans="1:22" ht="225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>
        <v>4053.77</v>
      </c>
      <c r="K6" s="28">
        <v>40</v>
      </c>
      <c r="L6" s="27">
        <f t="shared" si="0"/>
        <v>101.34425</v>
      </c>
      <c r="M6" s="27">
        <f t="shared" si="1"/>
        <v>4053.77</v>
      </c>
      <c r="N6" s="112" t="s">
        <v>382</v>
      </c>
      <c r="O6" s="124">
        <v>40</v>
      </c>
      <c r="P6" s="112" t="s">
        <v>383</v>
      </c>
      <c r="Q6" s="124" t="s">
        <v>277</v>
      </c>
      <c r="R6" s="29"/>
      <c r="S6" s="112" t="s">
        <v>384</v>
      </c>
      <c r="T6" s="124" t="s">
        <v>17</v>
      </c>
      <c r="U6" s="112" t="s">
        <v>385</v>
      </c>
      <c r="V6" s="38" t="s">
        <v>386</v>
      </c>
    </row>
    <row r="7" spans="1:22" ht="255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>
        <v>5254.89</v>
      </c>
      <c r="K7" s="28">
        <v>40</v>
      </c>
      <c r="L7" s="27">
        <f t="shared" si="0"/>
        <v>131.37225000000001</v>
      </c>
      <c r="M7" s="27">
        <f t="shared" si="1"/>
        <v>5254.89</v>
      </c>
      <c r="N7" s="112" t="s">
        <v>387</v>
      </c>
      <c r="O7" s="124">
        <v>40</v>
      </c>
      <c r="P7" s="112" t="s">
        <v>388</v>
      </c>
      <c r="Q7" s="124" t="s">
        <v>277</v>
      </c>
      <c r="R7" s="29"/>
      <c r="S7" s="112" t="s">
        <v>389</v>
      </c>
      <c r="T7" s="124" t="s">
        <v>21</v>
      </c>
      <c r="U7" s="112" t="s">
        <v>390</v>
      </c>
      <c r="V7" s="38" t="s">
        <v>391</v>
      </c>
    </row>
    <row r="8" spans="1:22" ht="285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>
        <v>6756.29</v>
      </c>
      <c r="K8" s="28">
        <v>40</v>
      </c>
      <c r="L8" s="27">
        <f t="shared" si="0"/>
        <v>168.90725</v>
      </c>
      <c r="M8" s="27">
        <f t="shared" si="1"/>
        <v>6756.29</v>
      </c>
      <c r="N8" s="112" t="s">
        <v>392</v>
      </c>
      <c r="O8" s="124">
        <v>40</v>
      </c>
      <c r="P8" s="112" t="s">
        <v>393</v>
      </c>
      <c r="Q8" s="124" t="s">
        <v>277</v>
      </c>
      <c r="R8" s="124" t="s">
        <v>394</v>
      </c>
      <c r="S8" s="112" t="s">
        <v>395</v>
      </c>
      <c r="T8" s="124" t="s">
        <v>37</v>
      </c>
      <c r="U8" s="112" t="s">
        <v>396</v>
      </c>
      <c r="V8" s="38" t="s">
        <v>397</v>
      </c>
    </row>
    <row r="9" spans="1:22" ht="89.2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28"/>
      <c r="L9" s="27"/>
      <c r="M9" s="27"/>
      <c r="N9" s="29"/>
      <c r="O9" s="29"/>
      <c r="P9" s="29"/>
      <c r="Q9" s="29"/>
      <c r="R9" s="29"/>
      <c r="S9" s="29"/>
      <c r="T9" s="29"/>
      <c r="U9" s="29"/>
      <c r="V9" s="38"/>
    </row>
    <row r="10" spans="1:22" ht="89.2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28">
        <v>40</v>
      </c>
      <c r="L10" s="27">
        <f t="shared" ref="L10:L36" si="2">J10/K10</f>
        <v>0</v>
      </c>
      <c r="M10" s="27">
        <f t="shared" ref="M10:M36" si="3">L10*B10</f>
        <v>0</v>
      </c>
      <c r="N10" s="29"/>
      <c r="O10" s="29"/>
      <c r="P10" s="29"/>
      <c r="Q10" s="29"/>
      <c r="R10" s="29"/>
      <c r="S10" s="29"/>
      <c r="T10" s="29"/>
      <c r="U10" s="29"/>
      <c r="V10" s="38"/>
    </row>
    <row r="11" spans="1:22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8">
        <v>40</v>
      </c>
      <c r="L11" s="27">
        <f t="shared" si="2"/>
        <v>0</v>
      </c>
      <c r="M11" s="27">
        <f t="shared" si="3"/>
        <v>0</v>
      </c>
      <c r="N11" s="29"/>
      <c r="O11" s="29"/>
      <c r="P11" s="29"/>
      <c r="Q11" s="29"/>
      <c r="R11" s="29"/>
      <c r="S11" s="29"/>
      <c r="T11" s="29"/>
      <c r="U11" s="29"/>
      <c r="V11" s="38"/>
    </row>
    <row r="12" spans="1:22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8">
        <v>40</v>
      </c>
      <c r="L12" s="27">
        <f t="shared" si="2"/>
        <v>0</v>
      </c>
      <c r="M12" s="27">
        <f t="shared" si="3"/>
        <v>0</v>
      </c>
      <c r="N12" s="29"/>
      <c r="O12" s="29"/>
      <c r="P12" s="29"/>
      <c r="Q12" s="29"/>
      <c r="R12" s="29"/>
      <c r="S12" s="29"/>
      <c r="T12" s="29"/>
      <c r="U12" s="29"/>
      <c r="V12" s="38"/>
    </row>
    <row r="13" spans="1:22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>
        <v>40</v>
      </c>
      <c r="L13" s="27">
        <f t="shared" si="2"/>
        <v>0</v>
      </c>
      <c r="M13" s="27">
        <f t="shared" si="3"/>
        <v>0</v>
      </c>
      <c r="N13" s="29"/>
      <c r="O13" s="29"/>
      <c r="P13" s="29"/>
      <c r="Q13" s="29"/>
      <c r="R13" s="29"/>
      <c r="S13" s="29"/>
      <c r="T13" s="29"/>
      <c r="U13" s="29"/>
      <c r="V13" s="38"/>
    </row>
    <row r="14" spans="1:22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8">
        <v>40</v>
      </c>
      <c r="L14" s="27">
        <f t="shared" si="2"/>
        <v>0</v>
      </c>
      <c r="M14" s="27">
        <f t="shared" si="3"/>
        <v>0</v>
      </c>
      <c r="N14" s="29"/>
      <c r="O14" s="29"/>
      <c r="P14" s="29"/>
      <c r="Q14" s="29"/>
      <c r="R14" s="29"/>
      <c r="S14" s="29"/>
      <c r="T14" s="29"/>
      <c r="U14" s="29"/>
      <c r="V14" s="38"/>
    </row>
    <row r="15" spans="1:22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8">
        <v>40</v>
      </c>
      <c r="L15" s="27">
        <f t="shared" si="2"/>
        <v>0</v>
      </c>
      <c r="M15" s="27">
        <f t="shared" si="3"/>
        <v>0</v>
      </c>
      <c r="N15" s="29"/>
      <c r="O15" s="29"/>
      <c r="P15" s="29"/>
      <c r="Q15" s="29"/>
      <c r="R15" s="29"/>
      <c r="S15" s="29"/>
      <c r="T15" s="29"/>
      <c r="U15" s="29"/>
      <c r="V15" s="38"/>
    </row>
    <row r="16" spans="1:22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8">
        <v>40</v>
      </c>
      <c r="L16" s="27">
        <f t="shared" si="2"/>
        <v>0</v>
      </c>
      <c r="M16" s="27">
        <f t="shared" si="3"/>
        <v>0</v>
      </c>
      <c r="N16" s="29"/>
      <c r="O16" s="29"/>
      <c r="P16" s="29"/>
      <c r="Q16" s="29"/>
      <c r="R16" s="29"/>
      <c r="S16" s="29"/>
      <c r="T16" s="29"/>
      <c r="U16" s="29"/>
      <c r="V16" s="40"/>
    </row>
    <row r="17" spans="1:22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>
        <v>40</v>
      </c>
      <c r="L17" s="27">
        <f t="shared" si="2"/>
        <v>0</v>
      </c>
      <c r="M17" s="27">
        <f t="shared" si="3"/>
        <v>0</v>
      </c>
      <c r="N17" s="29"/>
      <c r="O17" s="29"/>
      <c r="P17" s="29"/>
      <c r="Q17" s="29"/>
      <c r="R17" s="29"/>
      <c r="S17" s="29"/>
      <c r="T17" s="29"/>
      <c r="U17" s="29"/>
      <c r="V17" s="38"/>
    </row>
    <row r="18" spans="1:22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>
        <v>40</v>
      </c>
      <c r="L18" s="27">
        <f t="shared" si="2"/>
        <v>0</v>
      </c>
      <c r="M18" s="27">
        <f t="shared" si="3"/>
        <v>0</v>
      </c>
      <c r="N18" s="29"/>
      <c r="O18" s="29"/>
      <c r="P18" s="29"/>
      <c r="Q18" s="29"/>
      <c r="R18" s="29"/>
      <c r="S18" s="29"/>
      <c r="T18" s="29"/>
      <c r="U18" s="29"/>
      <c r="V18" s="38"/>
    </row>
    <row r="19" spans="1:22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8">
        <v>40</v>
      </c>
      <c r="L19" s="27">
        <f t="shared" si="2"/>
        <v>0</v>
      </c>
      <c r="M19" s="27">
        <f t="shared" si="3"/>
        <v>0</v>
      </c>
      <c r="N19" s="29"/>
      <c r="O19" s="29"/>
      <c r="P19" s="29"/>
      <c r="Q19" s="29"/>
      <c r="R19" s="29"/>
      <c r="S19" s="29"/>
      <c r="T19" s="29"/>
      <c r="U19" s="29"/>
      <c r="V19" s="38"/>
    </row>
    <row r="20" spans="1:22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8">
        <v>40</v>
      </c>
      <c r="L20" s="27">
        <f t="shared" si="2"/>
        <v>0</v>
      </c>
      <c r="M20" s="27">
        <f t="shared" si="3"/>
        <v>0</v>
      </c>
      <c r="N20" s="29"/>
      <c r="O20" s="29"/>
      <c r="P20" s="29"/>
      <c r="Q20" s="29"/>
      <c r="R20" s="29"/>
      <c r="S20" s="29"/>
      <c r="T20" s="29"/>
      <c r="U20" s="29"/>
      <c r="V20" s="38"/>
    </row>
    <row r="21" spans="1:22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8">
        <v>40</v>
      </c>
      <c r="L21" s="27">
        <f t="shared" si="2"/>
        <v>0</v>
      </c>
      <c r="M21" s="27">
        <f t="shared" si="3"/>
        <v>0</v>
      </c>
      <c r="N21" s="29"/>
      <c r="O21" s="29"/>
      <c r="P21" s="29"/>
      <c r="Q21" s="29"/>
      <c r="R21" s="29"/>
      <c r="S21" s="29"/>
      <c r="T21" s="29"/>
      <c r="U21" s="29"/>
      <c r="V21" s="40"/>
    </row>
    <row r="22" spans="1:22" ht="140.2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8">
        <v>40</v>
      </c>
      <c r="L22" s="27">
        <f t="shared" si="2"/>
        <v>0</v>
      </c>
      <c r="M22" s="27">
        <f t="shared" si="3"/>
        <v>0</v>
      </c>
      <c r="N22" s="29"/>
      <c r="O22" s="29"/>
      <c r="P22" s="29"/>
      <c r="Q22" s="29"/>
      <c r="R22" s="29"/>
      <c r="S22" s="29"/>
      <c r="T22" s="29"/>
      <c r="U22" s="29"/>
      <c r="V22" s="40"/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>
        <v>40</v>
      </c>
      <c r="L23" s="27">
        <f t="shared" si="2"/>
        <v>0</v>
      </c>
      <c r="M23" s="27">
        <f t="shared" si="3"/>
        <v>0</v>
      </c>
      <c r="N23" s="29"/>
      <c r="O23" s="29"/>
      <c r="P23" s="29"/>
      <c r="Q23" s="29"/>
      <c r="R23" s="29"/>
      <c r="S23" s="29"/>
      <c r="T23" s="29"/>
      <c r="U23" s="29"/>
      <c r="V23" s="38"/>
    </row>
    <row r="24" spans="1:22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>
        <v>40</v>
      </c>
      <c r="L24" s="27">
        <f t="shared" si="2"/>
        <v>0</v>
      </c>
      <c r="M24" s="27">
        <f t="shared" si="3"/>
        <v>0</v>
      </c>
      <c r="N24" s="29"/>
      <c r="O24" s="29"/>
      <c r="P24" s="29"/>
      <c r="Q24" s="29"/>
      <c r="R24" s="29"/>
      <c r="S24" s="29"/>
      <c r="T24" s="29"/>
      <c r="U24" s="29"/>
      <c r="V24" s="38"/>
    </row>
    <row r="25" spans="1:22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>
        <v>40</v>
      </c>
      <c r="L25" s="27">
        <f t="shared" si="2"/>
        <v>0</v>
      </c>
      <c r="M25" s="27">
        <f t="shared" si="3"/>
        <v>0</v>
      </c>
      <c r="N25" s="29"/>
      <c r="O25" s="29"/>
      <c r="P25" s="29"/>
      <c r="Q25" s="29"/>
      <c r="R25" s="29"/>
      <c r="S25" s="29"/>
      <c r="T25" s="29"/>
      <c r="U25" s="29"/>
      <c r="V25" s="40"/>
    </row>
    <row r="26" spans="1:22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8">
        <v>40</v>
      </c>
      <c r="L26" s="27">
        <f t="shared" si="2"/>
        <v>0</v>
      </c>
      <c r="M26" s="27">
        <f t="shared" si="3"/>
        <v>0</v>
      </c>
      <c r="N26" s="29"/>
      <c r="O26" s="29"/>
      <c r="P26" s="29"/>
      <c r="Q26" s="29"/>
      <c r="R26" s="29"/>
      <c r="S26" s="29"/>
      <c r="T26" s="29"/>
      <c r="U26" s="29"/>
      <c r="V26" s="38"/>
    </row>
    <row r="27" spans="1:22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8">
        <v>40</v>
      </c>
      <c r="L27" s="27">
        <f t="shared" si="2"/>
        <v>0</v>
      </c>
      <c r="M27" s="27">
        <f t="shared" si="3"/>
        <v>0</v>
      </c>
      <c r="N27" s="29"/>
      <c r="O27" s="29"/>
      <c r="P27" s="29"/>
      <c r="Q27" s="29"/>
      <c r="R27" s="29"/>
      <c r="S27" s="29"/>
      <c r="T27" s="29"/>
      <c r="U27" s="29"/>
      <c r="V27" s="38"/>
    </row>
    <row r="28" spans="1:22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8">
        <v>40</v>
      </c>
      <c r="L28" s="27">
        <f t="shared" si="2"/>
        <v>0</v>
      </c>
      <c r="M28" s="27">
        <f t="shared" si="3"/>
        <v>0</v>
      </c>
      <c r="N28" s="29"/>
      <c r="O28" s="29"/>
      <c r="P28" s="29"/>
      <c r="Q28" s="29"/>
      <c r="R28" s="29"/>
      <c r="S28" s="29"/>
      <c r="T28" s="29"/>
      <c r="U28" s="29"/>
      <c r="V28" s="38"/>
    </row>
    <row r="29" spans="1:22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8">
        <v>40</v>
      </c>
      <c r="L29" s="27">
        <f t="shared" si="2"/>
        <v>0</v>
      </c>
      <c r="M29" s="27">
        <f t="shared" si="3"/>
        <v>0</v>
      </c>
      <c r="N29" s="29"/>
      <c r="O29" s="29"/>
      <c r="P29" s="29"/>
      <c r="Q29" s="29"/>
      <c r="R29" s="29"/>
      <c r="S29" s="29"/>
      <c r="T29" s="29"/>
      <c r="U29" s="29"/>
      <c r="V29" s="38"/>
    </row>
    <row r="30" spans="1:22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8">
        <v>40</v>
      </c>
      <c r="L30" s="27">
        <f t="shared" si="2"/>
        <v>0</v>
      </c>
      <c r="M30" s="27">
        <f t="shared" si="3"/>
        <v>0</v>
      </c>
      <c r="N30" s="29"/>
      <c r="O30" s="29"/>
      <c r="P30" s="29"/>
      <c r="Q30" s="29"/>
      <c r="R30" s="29"/>
      <c r="S30" s="29"/>
      <c r="T30" s="29"/>
      <c r="U30" s="29"/>
      <c r="V30" s="38"/>
    </row>
    <row r="31" spans="1:22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8">
        <v>40</v>
      </c>
      <c r="L31" s="27">
        <f t="shared" si="2"/>
        <v>0</v>
      </c>
      <c r="M31" s="27">
        <f t="shared" si="3"/>
        <v>0</v>
      </c>
      <c r="N31" s="29"/>
      <c r="O31" s="29"/>
      <c r="P31" s="29"/>
      <c r="Q31" s="29"/>
      <c r="R31" s="29"/>
      <c r="S31" s="29"/>
      <c r="T31" s="29"/>
      <c r="U31" s="29"/>
      <c r="V31" s="38"/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>
        <v>40</v>
      </c>
      <c r="L32" s="27">
        <f t="shared" si="2"/>
        <v>0</v>
      </c>
      <c r="M32" s="27">
        <f t="shared" si="3"/>
        <v>0</v>
      </c>
      <c r="N32" s="29"/>
      <c r="O32" s="29"/>
      <c r="P32" s="29"/>
      <c r="Q32" s="29"/>
      <c r="R32" s="29"/>
      <c r="S32" s="29"/>
      <c r="T32" s="29"/>
      <c r="U32" s="29"/>
      <c r="V32" s="38"/>
    </row>
    <row r="33" spans="1:22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8">
        <v>40</v>
      </c>
      <c r="L33" s="27">
        <f t="shared" si="2"/>
        <v>0</v>
      </c>
      <c r="M33" s="27">
        <f t="shared" si="3"/>
        <v>0</v>
      </c>
      <c r="N33" s="29"/>
      <c r="O33" s="29"/>
      <c r="P33" s="29"/>
      <c r="Q33" s="29"/>
      <c r="R33" s="29"/>
      <c r="S33" s="29"/>
      <c r="T33" s="29"/>
      <c r="U33" s="29"/>
      <c r="V33" s="38"/>
    </row>
    <row r="34" spans="1:22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8">
        <v>40</v>
      </c>
      <c r="L34" s="27">
        <f t="shared" si="2"/>
        <v>0</v>
      </c>
      <c r="M34" s="27">
        <f t="shared" si="3"/>
        <v>0</v>
      </c>
      <c r="N34" s="29"/>
      <c r="O34" s="29"/>
      <c r="P34" s="29"/>
      <c r="Q34" s="29"/>
      <c r="R34" s="29"/>
      <c r="S34" s="29"/>
      <c r="T34" s="29"/>
      <c r="U34" s="29"/>
      <c r="V34" s="38"/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>
        <f t="shared" si="2"/>
        <v>0</v>
      </c>
      <c r="M35" s="27">
        <f t="shared" si="3"/>
        <v>0</v>
      </c>
      <c r="N35" s="29"/>
      <c r="O35" s="29"/>
      <c r="P35" s="29"/>
      <c r="Q35" s="29"/>
      <c r="R35" s="29"/>
      <c r="S35" s="29"/>
      <c r="T35" s="29"/>
      <c r="U35" s="29"/>
      <c r="V35" s="38"/>
    </row>
    <row r="36" spans="1:22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3">
        <v>40</v>
      </c>
      <c r="L36" s="42">
        <f t="shared" si="2"/>
        <v>0</v>
      </c>
      <c r="M36" s="42">
        <f t="shared" si="3"/>
        <v>0</v>
      </c>
      <c r="N36" s="44"/>
      <c r="O36" s="44"/>
      <c r="P36" s="44"/>
      <c r="Q36" s="44"/>
      <c r="R36" s="44"/>
      <c r="S36" s="44"/>
      <c r="T36" s="44"/>
      <c r="U36" s="44"/>
      <c r="V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6"/>
  <sheetViews>
    <sheetView zoomScaleNormal="100" workbookViewId="0">
      <pane ySplit="1" topLeftCell="A21" activePane="bottomLeft" state="frozen"/>
      <selection activeCell="C31" sqref="C31"/>
      <selection pane="bottomLeft" activeCell="C21" sqref="C21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4.140625" style="123" customWidth="1"/>
    <col min="10" max="10" width="11.85546875" style="7" customWidth="1"/>
    <col min="11" max="11" width="11.85546875" style="8" customWidth="1"/>
    <col min="12" max="12" width="11.140625" style="7" customWidth="1"/>
    <col min="13" max="13" width="10.7109375" style="7" bestFit="1" customWidth="1"/>
    <col min="14" max="14" width="21.7109375" customWidth="1"/>
    <col min="15" max="15" width="9.7109375" customWidth="1"/>
    <col min="16" max="16" width="7.7109375" bestFit="1" customWidth="1"/>
    <col min="17" max="17" width="16.42578125" customWidth="1"/>
    <col min="18" max="18" width="36.42578125" bestFit="1" customWidth="1"/>
    <col min="19" max="19" width="10.5703125" customWidth="1"/>
    <col min="20" max="20" width="9" customWidth="1"/>
    <col min="21" max="21" width="57.5703125" customWidth="1"/>
    <col min="22" max="22" width="38" style="7" bestFit="1" customWidth="1"/>
  </cols>
  <sheetData>
    <row r="1" spans="1:22" ht="64.5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36" t="s">
        <v>13</v>
      </c>
    </row>
    <row r="2" spans="1:22" ht="76.5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/>
      <c r="K2" s="28">
        <v>40</v>
      </c>
      <c r="L2" s="27">
        <f t="shared" ref="L2:L8" si="0">J2/K2</f>
        <v>0</v>
      </c>
      <c r="M2" s="27">
        <f t="shared" ref="M2:M8" si="1">L2*B2</f>
        <v>0</v>
      </c>
      <c r="N2" s="29"/>
      <c r="O2" s="29"/>
      <c r="P2" s="29"/>
      <c r="Q2" s="29"/>
      <c r="R2" s="29"/>
      <c r="S2" s="29"/>
      <c r="T2" s="29"/>
      <c r="U2" s="29"/>
      <c r="V2" s="38"/>
    </row>
    <row r="3" spans="1:22" ht="76.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/>
      <c r="K3" s="28">
        <v>40</v>
      </c>
      <c r="L3" s="30">
        <f t="shared" si="0"/>
        <v>0</v>
      </c>
      <c r="M3" s="27">
        <f t="shared" si="1"/>
        <v>0</v>
      </c>
      <c r="N3" s="29"/>
      <c r="O3" s="29"/>
      <c r="P3" s="29"/>
      <c r="Q3" s="29"/>
      <c r="R3" s="29"/>
      <c r="S3" s="29"/>
      <c r="T3" s="29"/>
      <c r="U3" s="29"/>
      <c r="V3" s="38"/>
    </row>
    <row r="4" spans="1:22" ht="120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>
        <v>4894.3100000000004</v>
      </c>
      <c r="K4" s="28">
        <v>44</v>
      </c>
      <c r="L4" s="27">
        <f t="shared" si="0"/>
        <v>111.2343181818182</v>
      </c>
      <c r="M4" s="27">
        <f t="shared" si="1"/>
        <v>4449.3727272727283</v>
      </c>
      <c r="N4" s="112" t="s">
        <v>398</v>
      </c>
      <c r="O4" s="124">
        <v>44</v>
      </c>
      <c r="P4" s="124">
        <v>411010</v>
      </c>
      <c r="Q4" s="124" t="s">
        <v>272</v>
      </c>
      <c r="R4" s="29"/>
      <c r="S4" s="124" t="s">
        <v>399</v>
      </c>
      <c r="T4" s="124" t="s">
        <v>17</v>
      </c>
      <c r="U4" s="112" t="s">
        <v>400</v>
      </c>
      <c r="V4" s="38" t="s">
        <v>401</v>
      </c>
    </row>
    <row r="5" spans="1:22" ht="114.7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/>
      <c r="K5" s="28">
        <v>40</v>
      </c>
      <c r="L5" s="27">
        <f t="shared" si="0"/>
        <v>0</v>
      </c>
      <c r="M5" s="27">
        <f t="shared" si="1"/>
        <v>0</v>
      </c>
      <c r="N5" s="29"/>
      <c r="O5" s="29"/>
      <c r="P5" s="29"/>
      <c r="Q5" s="29"/>
      <c r="R5" s="29"/>
      <c r="S5" s="29"/>
      <c r="T5" s="29"/>
      <c r="U5" s="29"/>
      <c r="V5" s="39"/>
    </row>
    <row r="6" spans="1:22" ht="150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>
        <v>6042.08</v>
      </c>
      <c r="K6" s="28">
        <v>44</v>
      </c>
      <c r="L6" s="27">
        <f t="shared" si="0"/>
        <v>137.32</v>
      </c>
      <c r="M6" s="27">
        <f t="shared" si="1"/>
        <v>5492.7999999999993</v>
      </c>
      <c r="N6" s="112" t="s">
        <v>402</v>
      </c>
      <c r="O6" s="124">
        <v>44</v>
      </c>
      <c r="P6" s="124">
        <v>252105</v>
      </c>
      <c r="Q6" s="124" t="s">
        <v>277</v>
      </c>
      <c r="R6" s="29"/>
      <c r="S6" s="29"/>
      <c r="T6" s="29"/>
      <c r="U6" s="112" t="s">
        <v>403</v>
      </c>
      <c r="V6" s="38" t="s">
        <v>404</v>
      </c>
    </row>
    <row r="7" spans="1:22" ht="153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/>
      <c r="K7" s="28">
        <v>40</v>
      </c>
      <c r="L7" s="27">
        <f t="shared" si="0"/>
        <v>0</v>
      </c>
      <c r="M7" s="27">
        <f t="shared" si="1"/>
        <v>0</v>
      </c>
      <c r="N7" s="29"/>
      <c r="O7" s="29"/>
      <c r="P7" s="29"/>
      <c r="Q7" s="29"/>
      <c r="R7" s="29"/>
      <c r="S7" s="29"/>
      <c r="T7" s="29"/>
      <c r="U7" s="29"/>
      <c r="V7" s="38"/>
    </row>
    <row r="8" spans="1:22" ht="153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/>
      <c r="K8" s="28">
        <v>40</v>
      </c>
      <c r="L8" s="27">
        <f t="shared" si="0"/>
        <v>0</v>
      </c>
      <c r="M8" s="27">
        <f t="shared" si="1"/>
        <v>0</v>
      </c>
      <c r="N8" s="29"/>
      <c r="O8" s="29"/>
      <c r="P8" s="29"/>
      <c r="Q8" s="29"/>
      <c r="R8" s="29"/>
      <c r="S8" s="29"/>
      <c r="T8" s="29"/>
      <c r="U8" s="29"/>
      <c r="V8" s="38"/>
    </row>
    <row r="9" spans="1:22" ht="89.2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28"/>
      <c r="L9" s="27"/>
      <c r="M9" s="27"/>
      <c r="N9" s="29"/>
      <c r="O9" s="29"/>
      <c r="P9" s="29"/>
      <c r="Q9" s="29"/>
      <c r="R9" s="29"/>
      <c r="S9" s="29"/>
      <c r="T9" s="29"/>
      <c r="U9" s="29"/>
      <c r="V9" s="38"/>
    </row>
    <row r="10" spans="1:22" ht="89.2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28">
        <v>40</v>
      </c>
      <c r="L10" s="27">
        <f t="shared" ref="L10:L36" si="2">J10/K10</f>
        <v>0</v>
      </c>
      <c r="M10" s="27">
        <f t="shared" ref="M10:M36" si="3">L10*B10</f>
        <v>0</v>
      </c>
      <c r="N10" s="29"/>
      <c r="O10" s="29"/>
      <c r="P10" s="29"/>
      <c r="Q10" s="29"/>
      <c r="R10" s="29"/>
      <c r="S10" s="29"/>
      <c r="T10" s="29"/>
      <c r="U10" s="29"/>
      <c r="V10" s="38"/>
    </row>
    <row r="11" spans="1:22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8">
        <v>40</v>
      </c>
      <c r="L11" s="27">
        <f t="shared" si="2"/>
        <v>0</v>
      </c>
      <c r="M11" s="27">
        <f t="shared" si="3"/>
        <v>0</v>
      </c>
      <c r="N11" s="29"/>
      <c r="O11" s="29"/>
      <c r="P11" s="29"/>
      <c r="Q11" s="29"/>
      <c r="R11" s="29"/>
      <c r="S11" s="29"/>
      <c r="T11" s="29"/>
      <c r="U11" s="29"/>
      <c r="V11" s="38"/>
    </row>
    <row r="12" spans="1:22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8">
        <v>40</v>
      </c>
      <c r="L12" s="27">
        <f t="shared" si="2"/>
        <v>0</v>
      </c>
      <c r="M12" s="27">
        <f t="shared" si="3"/>
        <v>0</v>
      </c>
      <c r="N12" s="29"/>
      <c r="O12" s="29"/>
      <c r="P12" s="29"/>
      <c r="Q12" s="29"/>
      <c r="R12" s="29"/>
      <c r="S12" s="29"/>
      <c r="T12" s="29"/>
      <c r="U12" s="29"/>
      <c r="V12" s="38"/>
    </row>
    <row r="13" spans="1:22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>
        <v>40</v>
      </c>
      <c r="L13" s="27">
        <f t="shared" si="2"/>
        <v>0</v>
      </c>
      <c r="M13" s="27">
        <f t="shared" si="3"/>
        <v>0</v>
      </c>
      <c r="N13" s="29"/>
      <c r="O13" s="29"/>
      <c r="P13" s="29"/>
      <c r="Q13" s="29"/>
      <c r="R13" s="29"/>
      <c r="S13" s="29"/>
      <c r="T13" s="29"/>
      <c r="U13" s="29"/>
      <c r="V13" s="38"/>
    </row>
    <row r="14" spans="1:22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8">
        <v>40</v>
      </c>
      <c r="L14" s="27">
        <f t="shared" si="2"/>
        <v>0</v>
      </c>
      <c r="M14" s="27">
        <f t="shared" si="3"/>
        <v>0</v>
      </c>
      <c r="N14" s="29"/>
      <c r="O14" s="29"/>
      <c r="P14" s="29"/>
      <c r="Q14" s="29"/>
      <c r="R14" s="29"/>
      <c r="S14" s="29"/>
      <c r="T14" s="29"/>
      <c r="U14" s="29"/>
      <c r="V14" s="38"/>
    </row>
    <row r="15" spans="1:22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8">
        <v>40</v>
      </c>
      <c r="L15" s="27">
        <f t="shared" si="2"/>
        <v>0</v>
      </c>
      <c r="M15" s="27">
        <f t="shared" si="3"/>
        <v>0</v>
      </c>
      <c r="N15" s="29"/>
      <c r="O15" s="29"/>
      <c r="P15" s="29"/>
      <c r="Q15" s="29"/>
      <c r="R15" s="29"/>
      <c r="S15" s="29"/>
      <c r="T15" s="29"/>
      <c r="U15" s="29"/>
      <c r="V15" s="38"/>
    </row>
    <row r="16" spans="1:22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8">
        <v>40</v>
      </c>
      <c r="L16" s="27">
        <f t="shared" si="2"/>
        <v>0</v>
      </c>
      <c r="M16" s="27">
        <f t="shared" si="3"/>
        <v>0</v>
      </c>
      <c r="N16" s="29"/>
      <c r="O16" s="29"/>
      <c r="P16" s="29"/>
      <c r="Q16" s="29"/>
      <c r="R16" s="29"/>
      <c r="S16" s="29"/>
      <c r="T16" s="29"/>
      <c r="U16" s="29"/>
      <c r="V16" s="40"/>
    </row>
    <row r="17" spans="1:22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>
        <v>40</v>
      </c>
      <c r="L17" s="27">
        <f t="shared" si="2"/>
        <v>0</v>
      </c>
      <c r="M17" s="27">
        <f t="shared" si="3"/>
        <v>0</v>
      </c>
      <c r="N17" s="29"/>
      <c r="O17" s="29"/>
      <c r="P17" s="29"/>
      <c r="Q17" s="29"/>
      <c r="R17" s="29"/>
      <c r="S17" s="29"/>
      <c r="T17" s="29"/>
      <c r="U17" s="29"/>
      <c r="V17" s="38"/>
    </row>
    <row r="18" spans="1:22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>
        <v>40</v>
      </c>
      <c r="L18" s="27">
        <f t="shared" si="2"/>
        <v>0</v>
      </c>
      <c r="M18" s="27">
        <f t="shared" si="3"/>
        <v>0</v>
      </c>
      <c r="N18" s="29"/>
      <c r="O18" s="29"/>
      <c r="P18" s="29"/>
      <c r="Q18" s="29"/>
      <c r="R18" s="29"/>
      <c r="S18" s="29"/>
      <c r="T18" s="29"/>
      <c r="U18" s="29"/>
      <c r="V18" s="38"/>
    </row>
    <row r="19" spans="1:22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8">
        <v>40</v>
      </c>
      <c r="L19" s="27">
        <f t="shared" si="2"/>
        <v>0</v>
      </c>
      <c r="M19" s="27">
        <f t="shared" si="3"/>
        <v>0</v>
      </c>
      <c r="N19" s="29"/>
      <c r="O19" s="29"/>
      <c r="P19" s="29"/>
      <c r="Q19" s="29"/>
      <c r="R19" s="29"/>
      <c r="S19" s="29"/>
      <c r="T19" s="29"/>
      <c r="U19" s="29"/>
      <c r="V19" s="38"/>
    </row>
    <row r="20" spans="1:22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8">
        <v>40</v>
      </c>
      <c r="L20" s="27">
        <f t="shared" si="2"/>
        <v>0</v>
      </c>
      <c r="M20" s="27">
        <f t="shared" si="3"/>
        <v>0</v>
      </c>
      <c r="N20" s="29"/>
      <c r="O20" s="29"/>
      <c r="P20" s="29"/>
      <c r="Q20" s="29"/>
      <c r="R20" s="29"/>
      <c r="S20" s="29"/>
      <c r="T20" s="29"/>
      <c r="U20" s="29"/>
      <c r="V20" s="38"/>
    </row>
    <row r="21" spans="1:22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8">
        <v>40</v>
      </c>
      <c r="L21" s="27">
        <f t="shared" si="2"/>
        <v>0</v>
      </c>
      <c r="M21" s="27">
        <f t="shared" si="3"/>
        <v>0</v>
      </c>
      <c r="N21" s="29"/>
      <c r="O21" s="29"/>
      <c r="P21" s="29"/>
      <c r="Q21" s="29"/>
      <c r="R21" s="29"/>
      <c r="S21" s="29"/>
      <c r="T21" s="29"/>
      <c r="U21" s="29"/>
      <c r="V21" s="40"/>
    </row>
    <row r="22" spans="1:22" ht="140.2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8">
        <v>40</v>
      </c>
      <c r="L22" s="27">
        <f t="shared" si="2"/>
        <v>0</v>
      </c>
      <c r="M22" s="27">
        <f t="shared" si="3"/>
        <v>0</v>
      </c>
      <c r="N22" s="29"/>
      <c r="O22" s="29"/>
      <c r="P22" s="29"/>
      <c r="Q22" s="29"/>
      <c r="R22" s="29"/>
      <c r="S22" s="29"/>
      <c r="T22" s="29"/>
      <c r="U22" s="29"/>
      <c r="V22" s="40"/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>
        <v>40</v>
      </c>
      <c r="L23" s="27">
        <f t="shared" si="2"/>
        <v>0</v>
      </c>
      <c r="M23" s="27">
        <f t="shared" si="3"/>
        <v>0</v>
      </c>
      <c r="N23" s="29"/>
      <c r="O23" s="29"/>
      <c r="P23" s="29"/>
      <c r="Q23" s="29"/>
      <c r="R23" s="29"/>
      <c r="S23" s="29"/>
      <c r="T23" s="29"/>
      <c r="U23" s="29"/>
      <c r="V23" s="38"/>
    </row>
    <row r="24" spans="1:22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>
        <v>40</v>
      </c>
      <c r="L24" s="27">
        <f t="shared" si="2"/>
        <v>0</v>
      </c>
      <c r="M24" s="27">
        <f t="shared" si="3"/>
        <v>0</v>
      </c>
      <c r="N24" s="29"/>
      <c r="O24" s="29"/>
      <c r="P24" s="29"/>
      <c r="Q24" s="29"/>
      <c r="R24" s="29"/>
      <c r="S24" s="29"/>
      <c r="T24" s="29"/>
      <c r="U24" s="29"/>
      <c r="V24" s="38"/>
    </row>
    <row r="25" spans="1:22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>
        <v>40</v>
      </c>
      <c r="L25" s="27">
        <f t="shared" si="2"/>
        <v>0</v>
      </c>
      <c r="M25" s="27">
        <f t="shared" si="3"/>
        <v>0</v>
      </c>
      <c r="N25" s="29"/>
      <c r="O25" s="29"/>
      <c r="P25" s="29"/>
      <c r="Q25" s="29"/>
      <c r="R25" s="29"/>
      <c r="S25" s="29"/>
      <c r="T25" s="29"/>
      <c r="U25" s="29"/>
      <c r="V25" s="40"/>
    </row>
    <row r="26" spans="1:22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8">
        <v>40</v>
      </c>
      <c r="L26" s="27">
        <f t="shared" si="2"/>
        <v>0</v>
      </c>
      <c r="M26" s="27">
        <f t="shared" si="3"/>
        <v>0</v>
      </c>
      <c r="N26" s="29"/>
      <c r="O26" s="29"/>
      <c r="P26" s="29"/>
      <c r="Q26" s="29"/>
      <c r="R26" s="29"/>
      <c r="S26" s="29"/>
      <c r="T26" s="29"/>
      <c r="U26" s="29"/>
      <c r="V26" s="38"/>
    </row>
    <row r="27" spans="1:22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8">
        <v>40</v>
      </c>
      <c r="L27" s="27">
        <f t="shared" si="2"/>
        <v>0</v>
      </c>
      <c r="M27" s="27">
        <f t="shared" si="3"/>
        <v>0</v>
      </c>
      <c r="N27" s="29"/>
      <c r="O27" s="29"/>
      <c r="P27" s="29"/>
      <c r="Q27" s="29"/>
      <c r="R27" s="29"/>
      <c r="S27" s="29"/>
      <c r="T27" s="29"/>
      <c r="U27" s="29"/>
      <c r="V27" s="38"/>
    </row>
    <row r="28" spans="1:22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8">
        <v>40</v>
      </c>
      <c r="L28" s="27">
        <f t="shared" si="2"/>
        <v>0</v>
      </c>
      <c r="M28" s="27">
        <f t="shared" si="3"/>
        <v>0</v>
      </c>
      <c r="N28" s="29"/>
      <c r="O28" s="29"/>
      <c r="P28" s="29"/>
      <c r="Q28" s="29"/>
      <c r="R28" s="29"/>
      <c r="S28" s="29"/>
      <c r="T28" s="29"/>
      <c r="U28" s="29"/>
      <c r="V28" s="38"/>
    </row>
    <row r="29" spans="1:22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8">
        <v>40</v>
      </c>
      <c r="L29" s="27">
        <f t="shared" si="2"/>
        <v>0</v>
      </c>
      <c r="M29" s="27">
        <f t="shared" si="3"/>
        <v>0</v>
      </c>
      <c r="N29" s="29"/>
      <c r="O29" s="29"/>
      <c r="P29" s="29"/>
      <c r="Q29" s="29"/>
      <c r="R29" s="29"/>
      <c r="S29" s="29"/>
      <c r="T29" s="29"/>
      <c r="U29" s="29"/>
      <c r="V29" s="38"/>
    </row>
    <row r="30" spans="1:22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8">
        <v>40</v>
      </c>
      <c r="L30" s="27">
        <f t="shared" si="2"/>
        <v>0</v>
      </c>
      <c r="M30" s="27">
        <f t="shared" si="3"/>
        <v>0</v>
      </c>
      <c r="N30" s="29"/>
      <c r="O30" s="29"/>
      <c r="P30" s="29"/>
      <c r="Q30" s="29"/>
      <c r="R30" s="29"/>
      <c r="S30" s="29"/>
      <c r="T30" s="29"/>
      <c r="U30" s="29"/>
      <c r="V30" s="38"/>
    </row>
    <row r="31" spans="1:22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8">
        <v>40</v>
      </c>
      <c r="L31" s="27">
        <f t="shared" si="2"/>
        <v>0</v>
      </c>
      <c r="M31" s="27">
        <f t="shared" si="3"/>
        <v>0</v>
      </c>
      <c r="N31" s="29"/>
      <c r="O31" s="29"/>
      <c r="P31" s="29"/>
      <c r="Q31" s="29"/>
      <c r="R31" s="29"/>
      <c r="S31" s="29"/>
      <c r="T31" s="29"/>
      <c r="U31" s="29"/>
      <c r="V31" s="38"/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>
        <v>40</v>
      </c>
      <c r="L32" s="27">
        <f t="shared" si="2"/>
        <v>0</v>
      </c>
      <c r="M32" s="27">
        <f t="shared" si="3"/>
        <v>0</v>
      </c>
      <c r="N32" s="29"/>
      <c r="O32" s="29"/>
      <c r="P32" s="29"/>
      <c r="Q32" s="29"/>
      <c r="R32" s="29"/>
      <c r="S32" s="29"/>
      <c r="T32" s="29"/>
      <c r="U32" s="29"/>
      <c r="V32" s="38"/>
    </row>
    <row r="33" spans="1:22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8">
        <v>40</v>
      </c>
      <c r="L33" s="27">
        <f t="shared" si="2"/>
        <v>0</v>
      </c>
      <c r="M33" s="27">
        <f t="shared" si="3"/>
        <v>0</v>
      </c>
      <c r="N33" s="29"/>
      <c r="O33" s="29"/>
      <c r="P33" s="29"/>
      <c r="Q33" s="29"/>
      <c r="R33" s="29"/>
      <c r="S33" s="29"/>
      <c r="T33" s="29"/>
      <c r="U33" s="29"/>
      <c r="V33" s="38"/>
    </row>
    <row r="34" spans="1:22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8">
        <v>40</v>
      </c>
      <c r="L34" s="27">
        <f t="shared" si="2"/>
        <v>0</v>
      </c>
      <c r="M34" s="27">
        <f t="shared" si="3"/>
        <v>0</v>
      </c>
      <c r="N34" s="29"/>
      <c r="O34" s="29"/>
      <c r="P34" s="29"/>
      <c r="Q34" s="29"/>
      <c r="R34" s="29"/>
      <c r="S34" s="29"/>
      <c r="T34" s="29"/>
      <c r="U34" s="29"/>
      <c r="V34" s="38"/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>
        <f t="shared" si="2"/>
        <v>0</v>
      </c>
      <c r="M35" s="27">
        <f t="shared" si="3"/>
        <v>0</v>
      </c>
      <c r="N35" s="29"/>
      <c r="O35" s="29"/>
      <c r="P35" s="29"/>
      <c r="Q35" s="29"/>
      <c r="R35" s="29"/>
      <c r="S35" s="29"/>
      <c r="T35" s="29"/>
      <c r="U35" s="29"/>
      <c r="V35" s="38"/>
    </row>
    <row r="36" spans="1:22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3">
        <v>40</v>
      </c>
      <c r="L36" s="42">
        <f t="shared" si="2"/>
        <v>0</v>
      </c>
      <c r="M36" s="42">
        <f t="shared" si="3"/>
        <v>0</v>
      </c>
      <c r="N36" s="44"/>
      <c r="O36" s="44"/>
      <c r="P36" s="44"/>
      <c r="Q36" s="44"/>
      <c r="R36" s="44"/>
      <c r="S36" s="44"/>
      <c r="T36" s="44"/>
      <c r="U36" s="44"/>
      <c r="V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6"/>
  <sheetViews>
    <sheetView zoomScale="70" zoomScaleNormal="70" workbookViewId="0">
      <pane ySplit="1" topLeftCell="A21" activePane="bottomLeft" state="frozen"/>
      <selection activeCell="C31" sqref="C31"/>
      <selection pane="bottomLeft" activeCell="C21" sqref="C21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4.140625" style="123" customWidth="1"/>
    <col min="10" max="10" width="13.7109375" style="7" customWidth="1"/>
    <col min="11" max="11" width="11.85546875" style="8" customWidth="1"/>
    <col min="12" max="12" width="11.140625" style="7" customWidth="1"/>
    <col min="13" max="13" width="13.85546875" style="7" customWidth="1"/>
    <col min="14" max="14" width="21.7109375" customWidth="1"/>
    <col min="15" max="15" width="9.7109375" customWidth="1"/>
    <col min="16" max="16" width="8.42578125" bestFit="1" customWidth="1"/>
    <col min="17" max="17" width="16.42578125" customWidth="1"/>
    <col min="18" max="18" width="36.42578125" bestFit="1" customWidth="1"/>
    <col min="19" max="19" width="10.5703125" customWidth="1"/>
    <col min="20" max="20" width="9" customWidth="1"/>
    <col min="21" max="21" width="62.28515625" customWidth="1"/>
    <col min="22" max="22" width="38" style="7" bestFit="1" customWidth="1"/>
  </cols>
  <sheetData>
    <row r="1" spans="1:22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36" t="s">
        <v>13</v>
      </c>
    </row>
    <row r="2" spans="1:22" ht="165" x14ac:dyDescent="0.25">
      <c r="A2" s="49" t="s">
        <v>14</v>
      </c>
      <c r="B2" s="26">
        <v>40</v>
      </c>
      <c r="C2" s="56">
        <v>411010</v>
      </c>
      <c r="D2" s="24" t="s">
        <v>15</v>
      </c>
      <c r="E2" s="24" t="s">
        <v>405</v>
      </c>
      <c r="F2" s="24" t="s">
        <v>16</v>
      </c>
      <c r="G2" s="24" t="s">
        <v>17</v>
      </c>
      <c r="H2" s="96" t="s">
        <v>18</v>
      </c>
      <c r="I2" s="117">
        <v>2721.4733710595206</v>
      </c>
      <c r="J2" s="37">
        <v>2690.37</v>
      </c>
      <c r="K2" s="28">
        <v>40</v>
      </c>
      <c r="L2" s="27">
        <f t="shared" ref="L2:L36" si="0">J2/K2</f>
        <v>67.259249999999994</v>
      </c>
      <c r="M2" s="27">
        <f t="shared" ref="M2:M36" si="1">L2*B2</f>
        <v>2690.37</v>
      </c>
      <c r="N2" s="112" t="s">
        <v>406</v>
      </c>
      <c r="O2" s="124">
        <v>40</v>
      </c>
      <c r="P2" s="124">
        <v>411010</v>
      </c>
      <c r="Q2" s="124" t="s">
        <v>272</v>
      </c>
      <c r="R2" s="29"/>
      <c r="S2" s="29"/>
      <c r="T2" s="29"/>
      <c r="U2" s="112" t="s">
        <v>407</v>
      </c>
      <c r="V2" s="38" t="s">
        <v>408</v>
      </c>
    </row>
    <row r="3" spans="1:22" ht="409.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>
        <v>3224.96</v>
      </c>
      <c r="K3" s="28">
        <v>40</v>
      </c>
      <c r="L3" s="30">
        <f t="shared" si="0"/>
        <v>80.623999999999995</v>
      </c>
      <c r="M3" s="27">
        <f t="shared" si="1"/>
        <v>3224.96</v>
      </c>
      <c r="N3" s="112" t="s">
        <v>409</v>
      </c>
      <c r="O3" s="124">
        <v>40</v>
      </c>
      <c r="P3" s="124">
        <v>411010</v>
      </c>
      <c r="Q3" s="124" t="s">
        <v>272</v>
      </c>
      <c r="R3" s="124"/>
      <c r="S3" s="124"/>
      <c r="T3" s="124"/>
      <c r="U3" s="112" t="s">
        <v>410</v>
      </c>
      <c r="V3" s="38" t="s">
        <v>411</v>
      </c>
    </row>
    <row r="4" spans="1:22" ht="89.2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/>
      <c r="K4" s="28">
        <v>40</v>
      </c>
      <c r="L4" s="27">
        <f t="shared" si="0"/>
        <v>0</v>
      </c>
      <c r="M4" s="27">
        <f t="shared" si="1"/>
        <v>0</v>
      </c>
      <c r="N4" s="112"/>
      <c r="O4" s="124"/>
      <c r="P4" s="124"/>
      <c r="Q4" s="124"/>
      <c r="R4" s="29"/>
      <c r="S4" s="29"/>
      <c r="T4" s="29"/>
      <c r="U4" s="133"/>
      <c r="V4" s="38"/>
    </row>
    <row r="5" spans="1:22" ht="114.7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/>
      <c r="K5" s="28">
        <v>40</v>
      </c>
      <c r="L5" s="27">
        <f t="shared" si="0"/>
        <v>0</v>
      </c>
      <c r="M5" s="27">
        <f t="shared" si="1"/>
        <v>0</v>
      </c>
      <c r="N5" s="112"/>
      <c r="O5" s="29"/>
      <c r="P5" s="29"/>
      <c r="Q5" s="29"/>
      <c r="R5" s="29"/>
      <c r="S5" s="29"/>
      <c r="T5" s="29"/>
      <c r="U5" s="29"/>
      <c r="V5" s="39"/>
    </row>
    <row r="6" spans="1:22" ht="114.75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/>
      <c r="K6" s="28">
        <v>40</v>
      </c>
      <c r="L6" s="27">
        <f t="shared" si="0"/>
        <v>0</v>
      </c>
      <c r="M6" s="27">
        <f t="shared" si="1"/>
        <v>0</v>
      </c>
      <c r="N6" s="112"/>
      <c r="O6" s="29"/>
      <c r="P6" s="29"/>
      <c r="Q6" s="29"/>
      <c r="R6" s="29"/>
      <c r="S6" s="29"/>
      <c r="T6" s="29"/>
      <c r="U6" s="29"/>
      <c r="V6" s="38"/>
    </row>
    <row r="7" spans="1:22" ht="409.5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>
        <v>6920.44</v>
      </c>
      <c r="K7" s="28">
        <v>40</v>
      </c>
      <c r="L7" s="27">
        <f t="shared" si="0"/>
        <v>173.011</v>
      </c>
      <c r="M7" s="27">
        <f t="shared" si="1"/>
        <v>6920.44</v>
      </c>
      <c r="N7" s="112" t="s">
        <v>412</v>
      </c>
      <c r="O7" s="124">
        <v>40</v>
      </c>
      <c r="P7" s="124">
        <v>131210</v>
      </c>
      <c r="Q7" s="124" t="s">
        <v>277</v>
      </c>
      <c r="R7" s="124"/>
      <c r="S7" s="124"/>
      <c r="T7" s="124"/>
      <c r="U7" s="112" t="s">
        <v>413</v>
      </c>
      <c r="V7" s="38" t="s">
        <v>414</v>
      </c>
    </row>
    <row r="8" spans="1:22" ht="409.5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>
        <v>6028.69</v>
      </c>
      <c r="K8" s="28">
        <v>40</v>
      </c>
      <c r="L8" s="27">
        <f t="shared" si="0"/>
        <v>150.71724999999998</v>
      </c>
      <c r="M8" s="27">
        <f t="shared" si="1"/>
        <v>6028.6899999999987</v>
      </c>
      <c r="N8" s="112" t="s">
        <v>415</v>
      </c>
      <c r="O8" s="124">
        <v>40</v>
      </c>
      <c r="P8" s="124">
        <v>252105</v>
      </c>
      <c r="Q8" s="124" t="s">
        <v>277</v>
      </c>
      <c r="R8" s="124"/>
      <c r="S8" s="124"/>
      <c r="T8" s="124"/>
      <c r="U8" s="112" t="s">
        <v>416</v>
      </c>
      <c r="V8" s="38" t="s">
        <v>417</v>
      </c>
    </row>
    <row r="9" spans="1:22" ht="31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>
        <v>3224.96</v>
      </c>
      <c r="K9" s="28">
        <v>40</v>
      </c>
      <c r="L9" s="27">
        <f t="shared" si="0"/>
        <v>80.623999999999995</v>
      </c>
      <c r="M9" s="27">
        <f t="shared" si="1"/>
        <v>3224.96</v>
      </c>
      <c r="N9" s="112" t="s">
        <v>418</v>
      </c>
      <c r="O9" s="124">
        <v>40</v>
      </c>
      <c r="P9" s="124">
        <v>262135</v>
      </c>
      <c r="Q9" s="124" t="s">
        <v>277</v>
      </c>
      <c r="R9" s="29"/>
      <c r="S9" s="29"/>
      <c r="T9" s="29"/>
      <c r="U9" s="112" t="s">
        <v>419</v>
      </c>
      <c r="V9" s="38" t="s">
        <v>420</v>
      </c>
    </row>
    <row r="10" spans="1:22" ht="31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>
        <v>3224.96</v>
      </c>
      <c r="K10" s="28">
        <v>40</v>
      </c>
      <c r="L10" s="27">
        <f t="shared" si="0"/>
        <v>80.623999999999995</v>
      </c>
      <c r="M10" s="27">
        <f t="shared" si="1"/>
        <v>3224.96</v>
      </c>
      <c r="N10" s="112" t="s">
        <v>418</v>
      </c>
      <c r="O10" s="124">
        <v>40</v>
      </c>
      <c r="P10" s="124">
        <v>262135</v>
      </c>
      <c r="Q10" s="124" t="s">
        <v>277</v>
      </c>
      <c r="R10" s="29"/>
      <c r="S10" s="29"/>
      <c r="T10" s="29"/>
      <c r="U10" s="112" t="s">
        <v>419</v>
      </c>
      <c r="V10" s="38" t="s">
        <v>420</v>
      </c>
    </row>
    <row r="11" spans="1:22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8">
        <v>40</v>
      </c>
      <c r="L11" s="27">
        <f t="shared" si="0"/>
        <v>0</v>
      </c>
      <c r="M11" s="27">
        <f t="shared" si="1"/>
        <v>0</v>
      </c>
      <c r="N11" s="29"/>
      <c r="O11" s="29"/>
      <c r="P11" s="29"/>
      <c r="Q11" s="29"/>
      <c r="R11" s="29"/>
      <c r="S11" s="29"/>
      <c r="T11" s="29"/>
      <c r="U11" s="29"/>
      <c r="V11" s="38"/>
    </row>
    <row r="12" spans="1:22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8">
        <v>40</v>
      </c>
      <c r="L12" s="27">
        <f t="shared" si="0"/>
        <v>0</v>
      </c>
      <c r="M12" s="27">
        <f t="shared" si="1"/>
        <v>0</v>
      </c>
      <c r="N12" s="29"/>
      <c r="O12" s="29"/>
      <c r="P12" s="29"/>
      <c r="Q12" s="29"/>
      <c r="R12" s="29"/>
      <c r="S12" s="29"/>
      <c r="T12" s="29"/>
      <c r="U12" s="29"/>
      <c r="V12" s="38"/>
    </row>
    <row r="13" spans="1:22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>
        <v>40</v>
      </c>
      <c r="L13" s="27">
        <f t="shared" si="0"/>
        <v>0</v>
      </c>
      <c r="M13" s="27">
        <f t="shared" si="1"/>
        <v>0</v>
      </c>
      <c r="N13" s="29"/>
      <c r="O13" s="29"/>
      <c r="P13" s="29"/>
      <c r="Q13" s="29"/>
      <c r="R13" s="29"/>
      <c r="S13" s="29"/>
      <c r="T13" s="29"/>
      <c r="U13" s="29"/>
      <c r="V13" s="38"/>
    </row>
    <row r="14" spans="1:22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8">
        <v>40</v>
      </c>
      <c r="L14" s="27">
        <f t="shared" si="0"/>
        <v>0</v>
      </c>
      <c r="M14" s="27">
        <f t="shared" si="1"/>
        <v>0</v>
      </c>
      <c r="N14" s="29"/>
      <c r="O14" s="29"/>
      <c r="P14" s="29"/>
      <c r="Q14" s="29"/>
      <c r="R14" s="29"/>
      <c r="S14" s="29"/>
      <c r="T14" s="29"/>
      <c r="U14" s="29"/>
      <c r="V14" s="38"/>
    </row>
    <row r="15" spans="1:22" ht="28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>
        <v>5558.77</v>
      </c>
      <c r="K15" s="28">
        <v>40</v>
      </c>
      <c r="L15" s="27">
        <f t="shared" si="0"/>
        <v>138.96925000000002</v>
      </c>
      <c r="M15" s="27">
        <f t="shared" si="1"/>
        <v>5558.77</v>
      </c>
      <c r="N15" s="112" t="s">
        <v>421</v>
      </c>
      <c r="O15" s="124">
        <v>40</v>
      </c>
      <c r="P15" s="124">
        <v>212410</v>
      </c>
      <c r="Q15" s="124" t="s">
        <v>277</v>
      </c>
      <c r="R15" s="29"/>
      <c r="S15" s="29"/>
      <c r="T15" s="29"/>
      <c r="U15" s="112" t="s">
        <v>422</v>
      </c>
      <c r="V15" s="38" t="s">
        <v>423</v>
      </c>
    </row>
    <row r="16" spans="1:22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8">
        <v>40</v>
      </c>
      <c r="L16" s="27">
        <f t="shared" si="0"/>
        <v>0</v>
      </c>
      <c r="M16" s="27">
        <f t="shared" si="1"/>
        <v>0</v>
      </c>
      <c r="N16" s="29"/>
      <c r="O16" s="29"/>
      <c r="P16" s="29"/>
      <c r="Q16" s="29"/>
      <c r="R16" s="29"/>
      <c r="S16" s="29"/>
      <c r="T16" s="29"/>
      <c r="U16" s="29"/>
      <c r="V16" s="40"/>
    </row>
    <row r="17" spans="1:22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>
        <v>40</v>
      </c>
      <c r="L17" s="27">
        <f t="shared" si="0"/>
        <v>0</v>
      </c>
      <c r="M17" s="27">
        <f t="shared" si="1"/>
        <v>0</v>
      </c>
      <c r="N17" s="112"/>
      <c r="O17" s="124"/>
      <c r="P17" s="124"/>
      <c r="Q17" s="124"/>
      <c r="R17" s="29"/>
      <c r="S17" s="29"/>
      <c r="T17" s="29"/>
      <c r="U17" s="112"/>
      <c r="V17" s="38"/>
    </row>
    <row r="18" spans="1:22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>
        <v>40</v>
      </c>
      <c r="L18" s="27">
        <f t="shared" si="0"/>
        <v>0</v>
      </c>
      <c r="M18" s="27">
        <f t="shared" si="1"/>
        <v>0</v>
      </c>
      <c r="N18" s="29"/>
      <c r="O18" s="124"/>
      <c r="P18" s="124"/>
      <c r="Q18" s="124"/>
      <c r="R18" s="29"/>
      <c r="S18" s="29"/>
      <c r="T18" s="29"/>
      <c r="U18" s="29"/>
      <c r="V18" s="38"/>
    </row>
    <row r="19" spans="1:22" ht="240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>
        <v>7048.27</v>
      </c>
      <c r="K19" s="28">
        <v>40</v>
      </c>
      <c r="L19" s="27">
        <f t="shared" si="0"/>
        <v>176.20675</v>
      </c>
      <c r="M19" s="27">
        <f t="shared" si="1"/>
        <v>7048.27</v>
      </c>
      <c r="N19" s="112" t="s">
        <v>424</v>
      </c>
      <c r="O19" s="124">
        <v>40</v>
      </c>
      <c r="P19" s="124">
        <v>142310</v>
      </c>
      <c r="Q19" s="124" t="s">
        <v>277</v>
      </c>
      <c r="R19" s="29"/>
      <c r="S19" s="29"/>
      <c r="T19" s="29"/>
      <c r="U19" s="112" t="s">
        <v>425</v>
      </c>
      <c r="V19" s="38" t="s">
        <v>426</v>
      </c>
    </row>
    <row r="20" spans="1:22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8">
        <v>40</v>
      </c>
      <c r="L20" s="27">
        <f t="shared" si="0"/>
        <v>0</v>
      </c>
      <c r="M20" s="27">
        <f t="shared" si="1"/>
        <v>0</v>
      </c>
      <c r="N20" s="29"/>
      <c r="O20" s="29"/>
      <c r="P20" s="29"/>
      <c r="Q20" s="29"/>
      <c r="R20" s="29"/>
      <c r="S20" s="29"/>
      <c r="T20" s="29"/>
      <c r="U20" s="29"/>
      <c r="V20" s="38"/>
    </row>
    <row r="21" spans="1:22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8">
        <v>40</v>
      </c>
      <c r="L21" s="27">
        <f t="shared" si="0"/>
        <v>0</v>
      </c>
      <c r="M21" s="27">
        <f t="shared" si="1"/>
        <v>0</v>
      </c>
      <c r="N21" s="112"/>
      <c r="O21" s="124"/>
      <c r="P21" s="124"/>
      <c r="Q21" s="112"/>
      <c r="R21" s="112"/>
      <c r="S21" s="29"/>
      <c r="T21" s="124"/>
      <c r="U21" s="112"/>
      <c r="V21" s="38"/>
    </row>
    <row r="22" spans="1:22" ht="140.2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8">
        <v>40</v>
      </c>
      <c r="L22" s="27">
        <f t="shared" si="0"/>
        <v>0</v>
      </c>
      <c r="M22" s="27">
        <f t="shared" si="1"/>
        <v>0</v>
      </c>
      <c r="N22" s="112"/>
      <c r="O22" s="124"/>
      <c r="P22" s="124"/>
      <c r="Q22" s="112"/>
      <c r="R22" s="112"/>
      <c r="S22" s="29"/>
      <c r="T22" s="29"/>
      <c r="U22" s="112"/>
      <c r="V22" s="40"/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>
        <v>40</v>
      </c>
      <c r="L23" s="27">
        <f t="shared" si="0"/>
        <v>0</v>
      </c>
      <c r="M23" s="27">
        <f t="shared" si="1"/>
        <v>0</v>
      </c>
      <c r="N23" s="29"/>
      <c r="O23" s="29"/>
      <c r="P23" s="29"/>
      <c r="Q23" s="29"/>
      <c r="R23" s="29"/>
      <c r="S23" s="29"/>
      <c r="T23" s="29"/>
      <c r="U23" s="29"/>
      <c r="V23" s="38"/>
    </row>
    <row r="24" spans="1:22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>
        <v>40</v>
      </c>
      <c r="L24" s="27">
        <f t="shared" si="0"/>
        <v>0</v>
      </c>
      <c r="M24" s="27">
        <f t="shared" si="1"/>
        <v>0</v>
      </c>
      <c r="N24" s="29"/>
      <c r="O24" s="29"/>
      <c r="P24" s="29"/>
      <c r="Q24" s="29"/>
      <c r="R24" s="29"/>
      <c r="S24" s="29"/>
      <c r="T24" s="29"/>
      <c r="U24" s="29"/>
      <c r="V24" s="38"/>
    </row>
    <row r="25" spans="1:22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>
        <v>40</v>
      </c>
      <c r="L25" s="27">
        <f t="shared" si="0"/>
        <v>0</v>
      </c>
      <c r="M25" s="27">
        <f t="shared" si="1"/>
        <v>0</v>
      </c>
      <c r="N25" s="29"/>
      <c r="O25" s="29"/>
      <c r="P25" s="29"/>
      <c r="Q25" s="29"/>
      <c r="R25" s="29"/>
      <c r="S25" s="29"/>
      <c r="T25" s="29"/>
      <c r="U25" s="29"/>
      <c r="V25" s="40"/>
    </row>
    <row r="26" spans="1:22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8">
        <v>40</v>
      </c>
      <c r="L26" s="27">
        <f t="shared" si="0"/>
        <v>0</v>
      </c>
      <c r="M26" s="27">
        <f t="shared" si="1"/>
        <v>0</v>
      </c>
      <c r="N26" s="29"/>
      <c r="O26" s="29"/>
      <c r="P26" s="29"/>
      <c r="Q26" s="29"/>
      <c r="R26" s="29"/>
      <c r="S26" s="29"/>
      <c r="T26" s="29"/>
      <c r="U26" s="29"/>
      <c r="V26" s="38"/>
    </row>
    <row r="27" spans="1:22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8">
        <v>40</v>
      </c>
      <c r="L27" s="27">
        <f t="shared" si="0"/>
        <v>0</v>
      </c>
      <c r="M27" s="27">
        <f t="shared" si="1"/>
        <v>0</v>
      </c>
      <c r="N27" s="29"/>
      <c r="O27" s="29"/>
      <c r="P27" s="29"/>
      <c r="Q27" s="29"/>
      <c r="R27" s="29"/>
      <c r="S27" s="29"/>
      <c r="T27" s="29"/>
      <c r="U27" s="29"/>
      <c r="V27" s="38"/>
    </row>
    <row r="28" spans="1:22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8">
        <v>40</v>
      </c>
      <c r="L28" s="27">
        <f t="shared" si="0"/>
        <v>0</v>
      </c>
      <c r="M28" s="27">
        <f t="shared" si="1"/>
        <v>0</v>
      </c>
      <c r="N28" s="29"/>
      <c r="O28" s="29"/>
      <c r="P28" s="29"/>
      <c r="Q28" s="29"/>
      <c r="R28" s="29"/>
      <c r="S28" s="29"/>
      <c r="T28" s="29"/>
      <c r="U28" s="29"/>
      <c r="V28" s="38"/>
    </row>
    <row r="29" spans="1:22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8">
        <v>40</v>
      </c>
      <c r="L29" s="27">
        <f t="shared" si="0"/>
        <v>0</v>
      </c>
      <c r="M29" s="27">
        <f t="shared" si="1"/>
        <v>0</v>
      </c>
      <c r="N29" s="29"/>
      <c r="O29" s="29"/>
      <c r="P29" s="29"/>
      <c r="Q29" s="29"/>
      <c r="R29" s="29"/>
      <c r="S29" s="29"/>
      <c r="T29" s="29"/>
      <c r="U29" s="29"/>
      <c r="V29" s="38"/>
    </row>
    <row r="30" spans="1:22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8">
        <v>40</v>
      </c>
      <c r="L30" s="27">
        <f t="shared" si="0"/>
        <v>0</v>
      </c>
      <c r="M30" s="27">
        <f t="shared" si="1"/>
        <v>0</v>
      </c>
      <c r="N30" s="29"/>
      <c r="O30" s="29"/>
      <c r="P30" s="29"/>
      <c r="Q30" s="29"/>
      <c r="R30" s="29"/>
      <c r="S30" s="29"/>
      <c r="T30" s="29"/>
      <c r="U30" s="29"/>
      <c r="V30" s="38"/>
    </row>
    <row r="31" spans="1:22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8">
        <v>40</v>
      </c>
      <c r="L31" s="27">
        <f t="shared" si="0"/>
        <v>0</v>
      </c>
      <c r="M31" s="27">
        <f t="shared" si="1"/>
        <v>0</v>
      </c>
      <c r="N31" s="29"/>
      <c r="O31" s="29"/>
      <c r="P31" s="29"/>
      <c r="Q31" s="29"/>
      <c r="R31" s="29"/>
      <c r="S31" s="29"/>
      <c r="T31" s="29"/>
      <c r="U31" s="29"/>
      <c r="V31" s="38"/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>
        <v>40</v>
      </c>
      <c r="L32" s="27">
        <f t="shared" si="0"/>
        <v>0</v>
      </c>
      <c r="M32" s="27">
        <f t="shared" si="1"/>
        <v>0</v>
      </c>
      <c r="N32" s="29"/>
      <c r="O32" s="29"/>
      <c r="P32" s="29"/>
      <c r="Q32" s="29"/>
      <c r="R32" s="29"/>
      <c r="S32" s="29"/>
      <c r="T32" s="29"/>
      <c r="U32" s="29"/>
      <c r="V32" s="38"/>
    </row>
    <row r="33" spans="1:22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8">
        <v>40</v>
      </c>
      <c r="L33" s="27">
        <f t="shared" si="0"/>
        <v>0</v>
      </c>
      <c r="M33" s="27">
        <f t="shared" si="1"/>
        <v>0</v>
      </c>
      <c r="N33" s="29"/>
      <c r="O33" s="29"/>
      <c r="P33" s="29"/>
      <c r="Q33" s="29"/>
      <c r="R33" s="29"/>
      <c r="S33" s="29"/>
      <c r="T33" s="29"/>
      <c r="U33" s="29"/>
      <c r="V33" s="38"/>
    </row>
    <row r="34" spans="1:22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8">
        <v>40</v>
      </c>
      <c r="L34" s="27">
        <f t="shared" si="0"/>
        <v>0</v>
      </c>
      <c r="M34" s="27">
        <f t="shared" si="1"/>
        <v>0</v>
      </c>
      <c r="N34" s="29"/>
      <c r="O34" s="29"/>
      <c r="P34" s="29"/>
      <c r="Q34" s="29"/>
      <c r="R34" s="29"/>
      <c r="S34" s="29"/>
      <c r="T34" s="29"/>
      <c r="U34" s="29"/>
      <c r="V34" s="38"/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>
        <f t="shared" si="0"/>
        <v>0</v>
      </c>
      <c r="M35" s="27">
        <f t="shared" si="1"/>
        <v>0</v>
      </c>
      <c r="N35" s="29"/>
      <c r="O35" s="29"/>
      <c r="P35" s="29"/>
      <c r="Q35" s="29"/>
      <c r="R35" s="29"/>
      <c r="S35" s="29"/>
      <c r="T35" s="29"/>
      <c r="U35" s="29"/>
      <c r="V35" s="38"/>
    </row>
    <row r="36" spans="1:22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3">
        <v>40</v>
      </c>
      <c r="L36" s="42">
        <f t="shared" si="0"/>
        <v>0</v>
      </c>
      <c r="M36" s="42">
        <f t="shared" si="1"/>
        <v>0</v>
      </c>
      <c r="N36" s="44"/>
      <c r="O36" s="44"/>
      <c r="P36" s="44"/>
      <c r="Q36" s="44"/>
      <c r="R36" s="44"/>
      <c r="S36" s="44"/>
      <c r="T36" s="44"/>
      <c r="U36" s="44"/>
      <c r="V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7"/>
  <sheetViews>
    <sheetView topLeftCell="A27" zoomScale="80" zoomScaleNormal="80" workbookViewId="0">
      <pane xSplit="1" topLeftCell="B1" activePane="topRight" state="frozen"/>
      <selection activeCell="C31" sqref="C31"/>
      <selection pane="topRight" activeCell="A36" sqref="A36"/>
    </sheetView>
  </sheetViews>
  <sheetFormatPr defaultRowHeight="15" x14ac:dyDescent="0.25"/>
  <cols>
    <col min="1" max="1" width="24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22.140625" style="123" customWidth="1"/>
    <col min="10" max="10" width="24.140625" style="7" customWidth="1"/>
    <col min="11" max="11" width="11.85546875" style="8" customWidth="1"/>
    <col min="12" max="12" width="17.140625" style="7" customWidth="1"/>
    <col min="13" max="13" width="18.28515625" style="7" bestFit="1" customWidth="1"/>
    <col min="14" max="14" width="28.42578125" customWidth="1"/>
    <col min="15" max="15" width="9.7109375" customWidth="1"/>
    <col min="16" max="16" width="7.7109375" bestFit="1" customWidth="1"/>
    <col min="17" max="17" width="16.42578125" customWidth="1"/>
    <col min="18" max="18" width="36.42578125" bestFit="1" customWidth="1"/>
    <col min="19" max="19" width="10.5703125" customWidth="1"/>
    <col min="20" max="20" width="9" customWidth="1"/>
    <col min="21" max="21" width="57.5703125" customWidth="1"/>
    <col min="22" max="22" width="38" style="7" bestFit="1" customWidth="1"/>
  </cols>
  <sheetData>
    <row r="1" spans="1:22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151" t="s">
        <v>13</v>
      </c>
    </row>
    <row r="2" spans="1:22" ht="255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>
        <v>3905.08</v>
      </c>
      <c r="K2" s="28">
        <v>40</v>
      </c>
      <c r="L2" s="27">
        <f t="shared" ref="L2:L36" si="0">J2/K2</f>
        <v>97.626999999999995</v>
      </c>
      <c r="M2" s="27">
        <f t="shared" ref="M2:M36" si="1">L2*B2</f>
        <v>3905.08</v>
      </c>
      <c r="N2" s="112" t="s">
        <v>427</v>
      </c>
      <c r="O2" s="112">
        <v>40</v>
      </c>
      <c r="P2" s="112" t="s">
        <v>428</v>
      </c>
      <c r="Q2" s="124" t="s">
        <v>272</v>
      </c>
      <c r="R2" s="124"/>
      <c r="S2" s="124" t="s">
        <v>429</v>
      </c>
      <c r="T2" s="124"/>
      <c r="U2" s="112" t="s">
        <v>430</v>
      </c>
      <c r="V2" s="130" t="s">
        <v>431</v>
      </c>
    </row>
    <row r="3" spans="1:22" ht="25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>
        <v>4983.99</v>
      </c>
      <c r="K3" s="28">
        <v>40</v>
      </c>
      <c r="L3" s="30">
        <f t="shared" si="0"/>
        <v>124.59975</v>
      </c>
      <c r="M3" s="27">
        <f t="shared" si="1"/>
        <v>4983.99</v>
      </c>
      <c r="N3" s="112" t="s">
        <v>432</v>
      </c>
      <c r="O3" s="112">
        <v>40</v>
      </c>
      <c r="P3" s="112" t="s">
        <v>428</v>
      </c>
      <c r="Q3" s="112" t="s">
        <v>272</v>
      </c>
      <c r="R3" s="112"/>
      <c r="S3" s="112" t="s">
        <v>433</v>
      </c>
      <c r="T3" s="112"/>
      <c r="U3" s="112" t="s">
        <v>430</v>
      </c>
      <c r="V3" s="130" t="s">
        <v>434</v>
      </c>
    </row>
    <row r="4" spans="1:22" ht="25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>
        <v>4746.6499999999996</v>
      </c>
      <c r="K4" s="28">
        <v>40</v>
      </c>
      <c r="L4" s="27">
        <f t="shared" si="0"/>
        <v>118.66624999999999</v>
      </c>
      <c r="M4" s="27">
        <f t="shared" si="1"/>
        <v>4746.6499999999996</v>
      </c>
      <c r="N4" s="112" t="s">
        <v>435</v>
      </c>
      <c r="O4" s="127">
        <v>40</v>
      </c>
      <c r="P4" s="112" t="s">
        <v>428</v>
      </c>
      <c r="Q4" s="127" t="s">
        <v>272</v>
      </c>
      <c r="R4" s="127"/>
      <c r="S4" s="127" t="s">
        <v>429</v>
      </c>
      <c r="T4" s="127"/>
      <c r="U4" s="112" t="s">
        <v>430</v>
      </c>
      <c r="V4" s="130" t="s">
        <v>436</v>
      </c>
    </row>
    <row r="5" spans="1:22" ht="270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>
        <v>5543.75</v>
      </c>
      <c r="K5" s="28">
        <v>40</v>
      </c>
      <c r="L5" s="27">
        <f t="shared" si="0"/>
        <v>138.59375</v>
      </c>
      <c r="M5" s="27">
        <f t="shared" si="1"/>
        <v>5543.75</v>
      </c>
      <c r="N5" s="112" t="s">
        <v>437</v>
      </c>
      <c r="O5" s="112">
        <v>40</v>
      </c>
      <c r="P5" s="112" t="s">
        <v>438</v>
      </c>
      <c r="Q5" s="112" t="s">
        <v>277</v>
      </c>
      <c r="R5" s="126"/>
      <c r="S5" s="112" t="s">
        <v>439</v>
      </c>
      <c r="T5" s="112"/>
      <c r="U5" s="125" t="s">
        <v>440</v>
      </c>
      <c r="V5" s="130" t="s">
        <v>441</v>
      </c>
    </row>
    <row r="6" spans="1:22" ht="270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>
        <v>7649.17</v>
      </c>
      <c r="K6" s="28">
        <v>40</v>
      </c>
      <c r="L6" s="27">
        <f t="shared" si="0"/>
        <v>191.22925000000001</v>
      </c>
      <c r="M6" s="27">
        <f t="shared" si="1"/>
        <v>7649.17</v>
      </c>
      <c r="N6" s="112" t="s">
        <v>442</v>
      </c>
      <c r="O6" s="124">
        <v>40</v>
      </c>
      <c r="P6" s="127" t="s">
        <v>438</v>
      </c>
      <c r="Q6" s="124" t="s">
        <v>277</v>
      </c>
      <c r="R6" s="127"/>
      <c r="S6" s="112" t="s">
        <v>443</v>
      </c>
      <c r="T6" s="127"/>
      <c r="U6" s="112" t="s">
        <v>444</v>
      </c>
      <c r="V6" s="130" t="s">
        <v>445</v>
      </c>
    </row>
    <row r="7" spans="1:22" ht="270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>
        <v>8414.09</v>
      </c>
      <c r="K7" s="28">
        <v>40</v>
      </c>
      <c r="L7" s="27">
        <f t="shared" si="0"/>
        <v>210.35225</v>
      </c>
      <c r="M7" s="27">
        <f t="shared" si="1"/>
        <v>8414.09</v>
      </c>
      <c r="N7" s="112" t="s">
        <v>446</v>
      </c>
      <c r="O7" s="124">
        <v>40</v>
      </c>
      <c r="P7" s="127" t="s">
        <v>438</v>
      </c>
      <c r="Q7" s="127" t="s">
        <v>277</v>
      </c>
      <c r="R7" s="127" t="s">
        <v>447</v>
      </c>
      <c r="S7" s="112" t="s">
        <v>443</v>
      </c>
      <c r="T7" s="124"/>
      <c r="U7" s="112" t="s">
        <v>448</v>
      </c>
      <c r="V7" s="130" t="s">
        <v>449</v>
      </c>
    </row>
    <row r="8" spans="1:22" ht="270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>
        <v>11801.18</v>
      </c>
      <c r="K8" s="28">
        <v>40</v>
      </c>
      <c r="L8" s="27">
        <f t="shared" si="0"/>
        <v>295.02949999999998</v>
      </c>
      <c r="M8" s="27">
        <f t="shared" si="1"/>
        <v>11801.18</v>
      </c>
      <c r="N8" s="112" t="s">
        <v>450</v>
      </c>
      <c r="O8" s="124">
        <v>40</v>
      </c>
      <c r="P8" s="124" t="s">
        <v>438</v>
      </c>
      <c r="Q8" s="124" t="s">
        <v>277</v>
      </c>
      <c r="R8" s="124" t="s">
        <v>447</v>
      </c>
      <c r="S8" s="112" t="s">
        <v>451</v>
      </c>
      <c r="T8" s="124"/>
      <c r="U8" s="125" t="s">
        <v>452</v>
      </c>
      <c r="V8" s="130" t="s">
        <v>453</v>
      </c>
    </row>
    <row r="9" spans="1:22" ht="89.2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28">
        <v>40</v>
      </c>
      <c r="L9" s="27">
        <f t="shared" si="0"/>
        <v>0</v>
      </c>
      <c r="M9" s="27">
        <f t="shared" si="1"/>
        <v>0</v>
      </c>
      <c r="N9" s="29"/>
      <c r="O9" s="29"/>
      <c r="P9" s="29"/>
      <c r="Q9" s="29"/>
      <c r="R9" s="29"/>
      <c r="S9" s="29"/>
      <c r="T9" s="29"/>
      <c r="U9" s="29"/>
      <c r="V9" s="130"/>
    </row>
    <row r="10" spans="1:22" ht="89.2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28">
        <v>40</v>
      </c>
      <c r="L10" s="27">
        <f t="shared" si="0"/>
        <v>0</v>
      </c>
      <c r="M10" s="27">
        <f t="shared" si="1"/>
        <v>0</v>
      </c>
      <c r="N10" s="29"/>
      <c r="O10" s="29"/>
      <c r="P10" s="29"/>
      <c r="Q10" s="29"/>
      <c r="R10" s="29"/>
      <c r="S10" s="29"/>
      <c r="T10" s="29"/>
      <c r="U10" s="29"/>
      <c r="V10" s="130"/>
    </row>
    <row r="11" spans="1:22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8">
        <v>40</v>
      </c>
      <c r="L11" s="27">
        <f t="shared" si="0"/>
        <v>0</v>
      </c>
      <c r="M11" s="27">
        <f t="shared" si="1"/>
        <v>0</v>
      </c>
      <c r="N11" s="29"/>
      <c r="O11" s="29"/>
      <c r="P11" s="29"/>
      <c r="Q11" s="29"/>
      <c r="R11" s="29"/>
      <c r="S11" s="29"/>
      <c r="T11" s="29"/>
      <c r="U11" s="29"/>
      <c r="V11" s="130"/>
    </row>
    <row r="12" spans="1:22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8">
        <v>40</v>
      </c>
      <c r="L12" s="27">
        <f t="shared" si="0"/>
        <v>0</v>
      </c>
      <c r="M12" s="27">
        <f t="shared" si="1"/>
        <v>0</v>
      </c>
      <c r="N12" s="112"/>
      <c r="O12" s="124"/>
      <c r="P12" s="124"/>
      <c r="Q12" s="124"/>
      <c r="R12" s="124"/>
      <c r="S12" s="124"/>
      <c r="T12" s="124"/>
      <c r="U12" s="125"/>
      <c r="V12" s="130"/>
    </row>
    <row r="13" spans="1:22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>
        <v>40</v>
      </c>
      <c r="L13" s="27">
        <f t="shared" si="0"/>
        <v>0</v>
      </c>
      <c r="M13" s="27">
        <f t="shared" si="1"/>
        <v>0</v>
      </c>
      <c r="N13" s="29"/>
      <c r="O13" s="29"/>
      <c r="P13" s="29"/>
      <c r="Q13" s="29"/>
      <c r="R13" s="29"/>
      <c r="S13" s="29"/>
      <c r="T13" s="29"/>
      <c r="U13" s="29"/>
      <c r="V13" s="130"/>
    </row>
    <row r="14" spans="1:22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8">
        <v>40</v>
      </c>
      <c r="L14" s="27">
        <f t="shared" si="0"/>
        <v>0</v>
      </c>
      <c r="M14" s="27">
        <f t="shared" si="1"/>
        <v>0</v>
      </c>
      <c r="N14" s="29"/>
      <c r="O14" s="29"/>
      <c r="P14" s="29"/>
      <c r="Q14" s="29"/>
      <c r="R14" s="29"/>
      <c r="S14" s="29"/>
      <c r="T14" s="29"/>
      <c r="U14" s="29"/>
      <c r="V14" s="130"/>
    </row>
    <row r="15" spans="1:22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8">
        <v>40</v>
      </c>
      <c r="L15" s="27">
        <f t="shared" si="0"/>
        <v>0</v>
      </c>
      <c r="M15" s="27">
        <f t="shared" si="1"/>
        <v>0</v>
      </c>
      <c r="N15" s="29"/>
      <c r="O15" s="29"/>
      <c r="P15" s="29"/>
      <c r="Q15" s="29"/>
      <c r="R15" s="29"/>
      <c r="S15" s="29"/>
      <c r="T15" s="29"/>
      <c r="U15" s="29"/>
      <c r="V15" s="130"/>
    </row>
    <row r="16" spans="1:22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8">
        <v>40</v>
      </c>
      <c r="L16" s="27">
        <f t="shared" si="0"/>
        <v>0</v>
      </c>
      <c r="M16" s="27">
        <f t="shared" si="1"/>
        <v>0</v>
      </c>
      <c r="N16" s="29"/>
      <c r="O16" s="29"/>
      <c r="P16" s="29"/>
      <c r="Q16" s="29"/>
      <c r="R16" s="29"/>
      <c r="S16" s="29"/>
      <c r="T16" s="29"/>
      <c r="U16" s="29"/>
      <c r="V16" s="130"/>
    </row>
    <row r="17" spans="1:22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>
        <v>40</v>
      </c>
      <c r="L17" s="27">
        <f t="shared" si="0"/>
        <v>0</v>
      </c>
      <c r="M17" s="27">
        <f t="shared" si="1"/>
        <v>0</v>
      </c>
      <c r="N17" s="29"/>
      <c r="O17" s="29"/>
      <c r="P17" s="29"/>
      <c r="Q17" s="29"/>
      <c r="R17" s="29"/>
      <c r="S17" s="29"/>
      <c r="T17" s="29"/>
      <c r="U17" s="29"/>
      <c r="V17" s="130"/>
    </row>
    <row r="18" spans="1:22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>
        <v>40</v>
      </c>
      <c r="L18" s="27">
        <f t="shared" si="0"/>
        <v>0</v>
      </c>
      <c r="M18" s="27">
        <f t="shared" si="1"/>
        <v>0</v>
      </c>
      <c r="N18" s="29"/>
      <c r="O18" s="29"/>
      <c r="P18" s="29"/>
      <c r="Q18" s="29"/>
      <c r="R18" s="29"/>
      <c r="S18" s="29"/>
      <c r="T18" s="29"/>
      <c r="U18" s="29"/>
      <c r="V18" s="130"/>
    </row>
    <row r="19" spans="1:22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8">
        <v>40</v>
      </c>
      <c r="L19" s="27">
        <f t="shared" si="0"/>
        <v>0</v>
      </c>
      <c r="M19" s="27">
        <f t="shared" si="1"/>
        <v>0</v>
      </c>
      <c r="N19" s="29"/>
      <c r="O19" s="29"/>
      <c r="P19" s="29"/>
      <c r="Q19" s="29"/>
      <c r="R19" s="29"/>
      <c r="S19" s="29"/>
      <c r="T19" s="29"/>
      <c r="U19" s="125"/>
      <c r="V19" s="130"/>
    </row>
    <row r="20" spans="1:22" ht="281.10000000000002" customHeight="1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>
        <v>10817.37</v>
      </c>
      <c r="K20" s="28">
        <v>40</v>
      </c>
      <c r="L20" s="27">
        <f t="shared" si="0"/>
        <v>270.43425000000002</v>
      </c>
      <c r="M20" s="27">
        <f t="shared" si="1"/>
        <v>10817.37</v>
      </c>
      <c r="N20" s="124" t="s">
        <v>454</v>
      </c>
      <c r="O20" s="124">
        <v>40</v>
      </c>
      <c r="P20" s="29"/>
      <c r="Q20" s="124" t="s">
        <v>277</v>
      </c>
      <c r="R20" s="124"/>
      <c r="S20" s="124" t="s">
        <v>455</v>
      </c>
      <c r="T20" s="124"/>
      <c r="U20" s="125" t="s">
        <v>456</v>
      </c>
      <c r="V20" s="130" t="s">
        <v>457</v>
      </c>
    </row>
    <row r="21" spans="1:22" ht="409.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>
        <v>2549.7800000000002</v>
      </c>
      <c r="K21" s="28">
        <v>40</v>
      </c>
      <c r="L21" s="27">
        <f t="shared" si="0"/>
        <v>63.744500000000002</v>
      </c>
      <c r="M21" s="27">
        <f t="shared" si="1"/>
        <v>2549.7800000000002</v>
      </c>
      <c r="N21" s="112" t="s">
        <v>458</v>
      </c>
      <c r="O21" s="124">
        <v>40</v>
      </c>
      <c r="P21" s="124"/>
      <c r="Q21" s="112" t="s">
        <v>459</v>
      </c>
      <c r="R21" s="29"/>
      <c r="S21" s="112"/>
      <c r="T21" s="29"/>
      <c r="U21" s="112" t="s">
        <v>460</v>
      </c>
      <c r="V21" s="130" t="s">
        <v>461</v>
      </c>
    </row>
    <row r="22" spans="1:22" ht="240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>
        <v>5482.39</v>
      </c>
      <c r="K22" s="28">
        <v>40</v>
      </c>
      <c r="L22" s="27">
        <f t="shared" si="0"/>
        <v>137.05975000000001</v>
      </c>
      <c r="M22" s="27">
        <f t="shared" si="1"/>
        <v>5482.39</v>
      </c>
      <c r="N22" s="124" t="s">
        <v>462</v>
      </c>
      <c r="O22" s="124">
        <v>40</v>
      </c>
      <c r="P22" s="29"/>
      <c r="Q22" s="124" t="s">
        <v>329</v>
      </c>
      <c r="R22" s="124"/>
      <c r="S22" s="112" t="s">
        <v>463</v>
      </c>
      <c r="T22" s="124"/>
      <c r="U22" s="112" t="s">
        <v>464</v>
      </c>
      <c r="V22" s="130" t="s">
        <v>465</v>
      </c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>
        <v>40</v>
      </c>
      <c r="L23" s="27">
        <f t="shared" si="0"/>
        <v>0</v>
      </c>
      <c r="M23" s="27">
        <f t="shared" si="1"/>
        <v>0</v>
      </c>
      <c r="N23" s="29"/>
      <c r="O23" s="29"/>
      <c r="P23" s="29"/>
      <c r="Q23" s="29"/>
      <c r="R23" s="29"/>
      <c r="S23" s="29"/>
      <c r="T23" s="29"/>
      <c r="U23" s="29"/>
      <c r="V23" s="130"/>
    </row>
    <row r="24" spans="1:22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>
        <v>40</v>
      </c>
      <c r="L24" s="27">
        <f t="shared" si="0"/>
        <v>0</v>
      </c>
      <c r="M24" s="27">
        <f t="shared" si="1"/>
        <v>0</v>
      </c>
      <c r="N24" s="29"/>
      <c r="O24" s="29"/>
      <c r="P24" s="29"/>
      <c r="Q24" s="29"/>
      <c r="R24" s="29"/>
      <c r="S24" s="29"/>
      <c r="T24" s="29"/>
      <c r="U24" s="29"/>
      <c r="V24" s="130"/>
    </row>
    <row r="25" spans="1:22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>
        <v>40</v>
      </c>
      <c r="L25" s="27">
        <f t="shared" si="0"/>
        <v>0</v>
      </c>
      <c r="M25" s="27">
        <f t="shared" si="1"/>
        <v>0</v>
      </c>
      <c r="N25" s="29"/>
      <c r="O25" s="29"/>
      <c r="P25" s="29"/>
      <c r="Q25" s="29"/>
      <c r="R25" s="29"/>
      <c r="S25" s="29"/>
      <c r="T25" s="29"/>
      <c r="U25" s="29"/>
      <c r="V25" s="130"/>
    </row>
    <row r="26" spans="1:22" ht="240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>
        <v>5482.39</v>
      </c>
      <c r="K26" s="28">
        <v>40</v>
      </c>
      <c r="L26" s="27">
        <f t="shared" si="0"/>
        <v>137.05975000000001</v>
      </c>
      <c r="M26" s="27">
        <f t="shared" si="1"/>
        <v>5482.39</v>
      </c>
      <c r="N26" s="29"/>
      <c r="O26" s="29"/>
      <c r="P26" s="29"/>
      <c r="Q26" s="29"/>
      <c r="R26" s="29"/>
      <c r="S26" s="29"/>
      <c r="T26" s="29"/>
      <c r="U26" s="112" t="s">
        <v>464</v>
      </c>
      <c r="V26" s="130" t="s">
        <v>465</v>
      </c>
    </row>
    <row r="27" spans="1:22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8">
        <v>40</v>
      </c>
      <c r="L27" s="27">
        <f t="shared" si="0"/>
        <v>0</v>
      </c>
      <c r="M27" s="27">
        <f t="shared" si="1"/>
        <v>0</v>
      </c>
      <c r="N27" s="29"/>
      <c r="O27" s="29"/>
      <c r="P27" s="29"/>
      <c r="Q27" s="29"/>
      <c r="R27" s="29"/>
      <c r="S27" s="29"/>
      <c r="T27" s="29"/>
      <c r="U27" s="29"/>
      <c r="V27" s="130"/>
    </row>
    <row r="28" spans="1:22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8">
        <v>40</v>
      </c>
      <c r="L28" s="27">
        <f t="shared" si="0"/>
        <v>0</v>
      </c>
      <c r="M28" s="27">
        <f t="shared" si="1"/>
        <v>0</v>
      </c>
      <c r="N28" s="29"/>
      <c r="O28" s="29"/>
      <c r="P28" s="29"/>
      <c r="Q28" s="29"/>
      <c r="R28" s="29"/>
      <c r="S28" s="29"/>
      <c r="T28" s="29"/>
      <c r="U28" s="29"/>
      <c r="V28" s="130"/>
    </row>
    <row r="29" spans="1:22" ht="409.5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>
        <v>7649.17</v>
      </c>
      <c r="K29" s="28">
        <v>40</v>
      </c>
      <c r="L29" s="27">
        <f t="shared" si="0"/>
        <v>191.22925000000001</v>
      </c>
      <c r="M29" s="27">
        <f t="shared" si="1"/>
        <v>7649.17</v>
      </c>
      <c r="N29" s="112" t="s">
        <v>466</v>
      </c>
      <c r="O29" s="124"/>
      <c r="P29" s="124"/>
      <c r="Q29" s="124" t="s">
        <v>277</v>
      </c>
      <c r="R29" s="29"/>
      <c r="S29" s="112" t="s">
        <v>467</v>
      </c>
      <c r="T29" s="124"/>
      <c r="U29" s="125" t="s">
        <v>468</v>
      </c>
      <c r="V29" s="130" t="s">
        <v>469</v>
      </c>
    </row>
    <row r="30" spans="1:22" ht="409.5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>
        <v>10728.35</v>
      </c>
      <c r="K30" s="28">
        <v>40</v>
      </c>
      <c r="L30" s="27">
        <f t="shared" si="0"/>
        <v>268.20875000000001</v>
      </c>
      <c r="M30" s="27">
        <f t="shared" si="1"/>
        <v>10728.35</v>
      </c>
      <c r="N30" s="150" t="s">
        <v>466</v>
      </c>
      <c r="O30" s="124">
        <v>40</v>
      </c>
      <c r="P30" s="124"/>
      <c r="Q30" s="124" t="s">
        <v>277</v>
      </c>
      <c r="R30" s="29"/>
      <c r="S30" s="112" t="s">
        <v>470</v>
      </c>
      <c r="T30" s="124"/>
      <c r="U30" s="125" t="s">
        <v>471</v>
      </c>
      <c r="V30" s="152" t="s">
        <v>472</v>
      </c>
    </row>
    <row r="31" spans="1:22" ht="409.5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>
        <v>8757.5300000000007</v>
      </c>
      <c r="K31" s="28">
        <v>40</v>
      </c>
      <c r="L31" s="27">
        <f t="shared" si="0"/>
        <v>218.93825000000001</v>
      </c>
      <c r="M31" s="27">
        <f t="shared" si="1"/>
        <v>8757.5300000000007</v>
      </c>
      <c r="N31" s="112" t="s">
        <v>473</v>
      </c>
      <c r="O31" s="29"/>
      <c r="P31" s="29"/>
      <c r="Q31" s="29"/>
      <c r="R31" s="29"/>
      <c r="S31" s="29"/>
      <c r="T31" s="29"/>
      <c r="U31" s="133" t="s">
        <v>474</v>
      </c>
      <c r="V31" s="130" t="s">
        <v>475</v>
      </c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>
        <v>40</v>
      </c>
      <c r="L32" s="27">
        <f t="shared" si="0"/>
        <v>0</v>
      </c>
      <c r="M32" s="27">
        <f t="shared" si="1"/>
        <v>0</v>
      </c>
      <c r="N32" s="29"/>
      <c r="O32" s="29"/>
      <c r="P32" s="29"/>
      <c r="Q32" s="29"/>
      <c r="R32" s="29"/>
      <c r="S32" s="29"/>
      <c r="T32" s="29"/>
      <c r="U32" s="29"/>
      <c r="V32" s="130"/>
    </row>
    <row r="33" spans="1:22" ht="354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>
        <v>8757.5300000000007</v>
      </c>
      <c r="K33" s="28">
        <v>40</v>
      </c>
      <c r="L33" s="27">
        <f t="shared" si="0"/>
        <v>218.93825000000001</v>
      </c>
      <c r="M33" s="27">
        <f t="shared" si="1"/>
        <v>8757.5300000000007</v>
      </c>
      <c r="N33" s="112" t="s">
        <v>473</v>
      </c>
      <c r="O33" s="29"/>
      <c r="P33" s="29"/>
      <c r="Q33" s="29"/>
      <c r="R33" s="29"/>
      <c r="S33" s="29"/>
      <c r="T33" s="29"/>
      <c r="U33" s="133" t="s">
        <v>474</v>
      </c>
      <c r="V33" s="130" t="s">
        <v>475</v>
      </c>
    </row>
    <row r="34" spans="1:22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8">
        <v>40</v>
      </c>
      <c r="L34" s="27">
        <f t="shared" si="0"/>
        <v>0</v>
      </c>
      <c r="M34" s="27">
        <f t="shared" si="1"/>
        <v>0</v>
      </c>
      <c r="N34" s="29"/>
      <c r="O34" s="29"/>
      <c r="P34" s="29"/>
      <c r="Q34" s="29"/>
      <c r="R34" s="29"/>
      <c r="S34" s="29"/>
      <c r="T34" s="29"/>
      <c r="U34" s="29"/>
      <c r="V34" s="130"/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>
        <f t="shared" si="0"/>
        <v>0</v>
      </c>
      <c r="M35" s="27">
        <f t="shared" si="1"/>
        <v>0</v>
      </c>
      <c r="N35" s="29"/>
      <c r="O35" s="29"/>
      <c r="P35" s="29"/>
      <c r="Q35" s="29"/>
      <c r="R35" s="29"/>
      <c r="S35" s="29"/>
      <c r="T35" s="29"/>
      <c r="U35" s="29"/>
      <c r="V35" s="130"/>
    </row>
    <row r="36" spans="1:22" ht="261.95" customHeight="1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>
        <v>11360.42</v>
      </c>
      <c r="K36" s="43">
        <v>20</v>
      </c>
      <c r="L36" s="42">
        <f t="shared" si="0"/>
        <v>568.02099999999996</v>
      </c>
      <c r="M36" s="42">
        <f t="shared" si="1"/>
        <v>11360.419999999998</v>
      </c>
      <c r="N36" s="128" t="s">
        <v>476</v>
      </c>
      <c r="O36" s="128">
        <v>30</v>
      </c>
      <c r="P36" s="44"/>
      <c r="Q36" s="128" t="s">
        <v>277</v>
      </c>
      <c r="R36" s="129"/>
      <c r="S36" s="128" t="s">
        <v>477</v>
      </c>
      <c r="T36" s="128"/>
      <c r="U36" s="129" t="s">
        <v>478</v>
      </c>
      <c r="V36" s="130" t="s">
        <v>479</v>
      </c>
    </row>
    <row r="37" spans="1:22" x14ac:dyDescent="0.25">
      <c r="J37" s="7" t="s">
        <v>480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6"/>
  <sheetViews>
    <sheetView zoomScale="80" zoomScaleNormal="80" workbookViewId="0">
      <pane ySplit="1" topLeftCell="A2" activePane="bottomLeft" state="frozen"/>
      <selection activeCell="C31" sqref="C31"/>
      <selection pane="bottomLeft" activeCell="C25" sqref="C25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8.42578125" style="123" customWidth="1"/>
    <col min="10" max="10" width="20" style="7" customWidth="1"/>
    <col min="11" max="11" width="11.85546875" style="7" customWidth="1"/>
    <col min="12" max="12" width="11.85546875" style="8" customWidth="1"/>
    <col min="13" max="13" width="16.85546875" style="7" customWidth="1"/>
    <col min="14" max="14" width="16" style="7" customWidth="1"/>
    <col min="15" max="15" width="21.7109375" customWidth="1"/>
    <col min="16" max="16" width="9.7109375" customWidth="1"/>
    <col min="17" max="17" width="7.7109375" bestFit="1" customWidth="1"/>
    <col min="18" max="18" width="16.42578125" customWidth="1"/>
    <col min="19" max="19" width="36.42578125" bestFit="1" customWidth="1"/>
    <col min="20" max="20" width="10.5703125" customWidth="1"/>
    <col min="21" max="21" width="9" customWidth="1"/>
    <col min="22" max="22" width="57.5703125" customWidth="1"/>
    <col min="23" max="23" width="38" style="7" bestFit="1" customWidth="1"/>
  </cols>
  <sheetData>
    <row r="1" spans="1:23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2" t="s">
        <v>261</v>
      </c>
      <c r="L1" s="33" t="s">
        <v>267</v>
      </c>
      <c r="M1" s="32" t="s">
        <v>11</v>
      </c>
      <c r="N1" s="32" t="s">
        <v>12</v>
      </c>
      <c r="O1" s="34" t="s">
        <v>268</v>
      </c>
      <c r="P1" s="34" t="s">
        <v>1</v>
      </c>
      <c r="Q1" s="34" t="s">
        <v>2</v>
      </c>
      <c r="R1" s="34" t="s">
        <v>3</v>
      </c>
      <c r="S1" s="34" t="s">
        <v>269</v>
      </c>
      <c r="T1" s="35" t="s">
        <v>5</v>
      </c>
      <c r="U1" s="34" t="s">
        <v>6</v>
      </c>
      <c r="V1" s="34" t="s">
        <v>270</v>
      </c>
      <c r="W1" s="36" t="s">
        <v>13</v>
      </c>
    </row>
    <row r="2" spans="1:23" ht="150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>
        <v>3995.81</v>
      </c>
      <c r="K2" s="27"/>
      <c r="L2" s="28">
        <v>40</v>
      </c>
      <c r="M2" s="27">
        <f>J2/L2</f>
        <v>99.895250000000004</v>
      </c>
      <c r="N2" s="27">
        <f>M2*B2</f>
        <v>3995.8100000000004</v>
      </c>
      <c r="O2" s="112" t="s">
        <v>481</v>
      </c>
      <c r="P2" s="124">
        <v>40</v>
      </c>
      <c r="Q2" s="124">
        <v>4110</v>
      </c>
      <c r="R2" s="124" t="s">
        <v>272</v>
      </c>
      <c r="S2" s="29"/>
      <c r="T2" s="124" t="s">
        <v>482</v>
      </c>
      <c r="U2" s="124" t="s">
        <v>17</v>
      </c>
      <c r="V2" s="125" t="s">
        <v>483</v>
      </c>
      <c r="W2" s="38" t="s">
        <v>484</v>
      </c>
    </row>
    <row r="3" spans="1:23" ht="76.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/>
      <c r="K3" s="27"/>
      <c r="L3" s="28">
        <v>40</v>
      </c>
      <c r="M3" s="30">
        <f>J3/L3</f>
        <v>0</v>
      </c>
      <c r="N3" s="27">
        <f t="shared" ref="N3:N36" si="0">M3*B3</f>
        <v>0</v>
      </c>
      <c r="O3" s="29"/>
      <c r="P3" s="29"/>
      <c r="Q3" s="29"/>
      <c r="R3" s="29"/>
      <c r="S3" s="29"/>
      <c r="T3" s="29"/>
      <c r="U3" s="29"/>
      <c r="V3" s="29"/>
      <c r="W3" s="38"/>
    </row>
    <row r="4" spans="1:23" ht="89.2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/>
      <c r="K4" s="27"/>
      <c r="L4" s="28">
        <v>40</v>
      </c>
      <c r="M4" s="27">
        <f t="shared" ref="M4:M36" si="1">J4/L4</f>
        <v>0</v>
      </c>
      <c r="N4" s="27">
        <f t="shared" si="0"/>
        <v>0</v>
      </c>
      <c r="O4" s="29"/>
      <c r="P4" s="29"/>
      <c r="Q4" s="29"/>
      <c r="R4" s="29"/>
      <c r="S4" s="29"/>
      <c r="T4" s="29"/>
      <c r="U4" s="29"/>
      <c r="V4" s="29"/>
      <c r="W4" s="38"/>
    </row>
    <row r="5" spans="1:23" ht="150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>
        <v>4595.16</v>
      </c>
      <c r="K5" s="27"/>
      <c r="L5" s="28">
        <v>40</v>
      </c>
      <c r="M5" s="27">
        <f t="shared" si="1"/>
        <v>114.87899999999999</v>
      </c>
      <c r="N5" s="27">
        <f t="shared" si="0"/>
        <v>4595.16</v>
      </c>
      <c r="O5" s="112" t="s">
        <v>485</v>
      </c>
      <c r="P5" s="124">
        <v>40</v>
      </c>
      <c r="Q5" s="124">
        <v>4110</v>
      </c>
      <c r="R5" s="124" t="s">
        <v>277</v>
      </c>
      <c r="S5" s="29"/>
      <c r="T5" s="112" t="s">
        <v>486</v>
      </c>
      <c r="U5" s="29"/>
      <c r="V5" s="112" t="s">
        <v>487</v>
      </c>
      <c r="W5" s="38" t="s">
        <v>488</v>
      </c>
    </row>
    <row r="6" spans="1:23" ht="114.75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/>
      <c r="K6" s="27"/>
      <c r="L6" s="28">
        <v>40</v>
      </c>
      <c r="M6" s="27">
        <f t="shared" si="1"/>
        <v>0</v>
      </c>
      <c r="N6" s="27">
        <f t="shared" si="0"/>
        <v>0</v>
      </c>
      <c r="O6" s="29"/>
      <c r="P6" s="29"/>
      <c r="Q6" s="29"/>
      <c r="R6" s="29"/>
      <c r="S6" s="29"/>
      <c r="T6" s="29"/>
      <c r="U6" s="29"/>
      <c r="V6" s="29"/>
      <c r="W6" s="38"/>
    </row>
    <row r="7" spans="1:23" ht="153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/>
      <c r="K7" s="27"/>
      <c r="L7" s="28">
        <v>40</v>
      </c>
      <c r="M7" s="27">
        <f t="shared" si="1"/>
        <v>0</v>
      </c>
      <c r="N7" s="27">
        <f t="shared" si="0"/>
        <v>0</v>
      </c>
      <c r="O7" s="29"/>
      <c r="P7" s="29"/>
      <c r="Q7" s="29"/>
      <c r="R7" s="29"/>
      <c r="S7" s="29"/>
      <c r="T7" s="29"/>
      <c r="U7" s="29"/>
      <c r="V7" s="29"/>
      <c r="W7" s="38"/>
    </row>
    <row r="8" spans="1:23" ht="153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/>
      <c r="K8" s="27"/>
      <c r="L8" s="28">
        <v>40</v>
      </c>
      <c r="M8" s="27">
        <f t="shared" si="1"/>
        <v>0</v>
      </c>
      <c r="N8" s="27">
        <f t="shared" si="0"/>
        <v>0</v>
      </c>
      <c r="O8" s="29"/>
      <c r="P8" s="29"/>
      <c r="Q8" s="29"/>
      <c r="R8" s="29"/>
      <c r="S8" s="29"/>
      <c r="T8" s="29"/>
      <c r="U8" s="29"/>
      <c r="V8" s="29"/>
      <c r="W8" s="38"/>
    </row>
    <row r="9" spans="1:23" ht="16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>
        <v>3995.81</v>
      </c>
      <c r="K9" s="27"/>
      <c r="L9" s="28">
        <v>40</v>
      </c>
      <c r="M9" s="27">
        <f t="shared" ref="M9" si="2">J9/L9</f>
        <v>99.895250000000004</v>
      </c>
      <c r="N9" s="27">
        <f t="shared" ref="N9" si="3">M9*B9</f>
        <v>3995.8100000000004</v>
      </c>
      <c r="O9" s="112" t="s">
        <v>489</v>
      </c>
      <c r="P9" s="112">
        <v>40</v>
      </c>
      <c r="Q9" s="112"/>
      <c r="R9" s="112" t="s">
        <v>272</v>
      </c>
      <c r="S9" s="112"/>
      <c r="T9" s="112" t="s">
        <v>490</v>
      </c>
      <c r="U9" s="112" t="s">
        <v>28</v>
      </c>
      <c r="V9" s="112" t="s">
        <v>491</v>
      </c>
      <c r="W9" s="38" t="s">
        <v>492</v>
      </c>
    </row>
    <row r="10" spans="1:23" ht="16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>
        <v>3995.81</v>
      </c>
      <c r="K10" s="27"/>
      <c r="L10" s="28">
        <v>40</v>
      </c>
      <c r="M10" s="27">
        <f t="shared" si="1"/>
        <v>99.895250000000004</v>
      </c>
      <c r="N10" s="27">
        <f t="shared" si="0"/>
        <v>3995.8100000000004</v>
      </c>
      <c r="O10" s="112" t="s">
        <v>489</v>
      </c>
      <c r="P10" s="112">
        <v>40</v>
      </c>
      <c r="Q10" s="112"/>
      <c r="R10" s="112" t="s">
        <v>272</v>
      </c>
      <c r="S10" s="112"/>
      <c r="T10" s="112" t="s">
        <v>490</v>
      </c>
      <c r="U10" s="112" t="s">
        <v>28</v>
      </c>
      <c r="V10" s="112" t="s">
        <v>491</v>
      </c>
      <c r="W10" s="38" t="s">
        <v>492</v>
      </c>
    </row>
    <row r="11" spans="1:23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7"/>
      <c r="L11" s="28">
        <v>40</v>
      </c>
      <c r="M11" s="27">
        <f t="shared" si="1"/>
        <v>0</v>
      </c>
      <c r="N11" s="27">
        <f t="shared" si="0"/>
        <v>0</v>
      </c>
      <c r="O11" s="29"/>
      <c r="P11" s="29"/>
      <c r="Q11" s="29"/>
      <c r="R11" s="29"/>
      <c r="S11" s="29"/>
      <c r="T11" s="29"/>
      <c r="U11" s="29"/>
      <c r="V11" s="29"/>
      <c r="W11" s="38"/>
    </row>
    <row r="12" spans="1:23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7"/>
      <c r="L12" s="28">
        <v>40</v>
      </c>
      <c r="M12" s="27">
        <f>J12/L12</f>
        <v>0</v>
      </c>
      <c r="N12" s="27">
        <f t="shared" si="0"/>
        <v>0</v>
      </c>
      <c r="O12" s="29"/>
      <c r="P12" s="29"/>
      <c r="Q12" s="29"/>
      <c r="R12" s="29"/>
      <c r="S12" s="29"/>
      <c r="T12" s="29"/>
      <c r="U12" s="29"/>
      <c r="V12" s="29"/>
      <c r="W12" s="38"/>
    </row>
    <row r="13" spans="1:23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7"/>
      <c r="L13" s="28">
        <v>40</v>
      </c>
      <c r="M13" s="27">
        <f t="shared" si="1"/>
        <v>0</v>
      </c>
      <c r="N13" s="27">
        <f t="shared" si="0"/>
        <v>0</v>
      </c>
      <c r="O13" s="29"/>
      <c r="P13" s="29"/>
      <c r="Q13" s="29"/>
      <c r="R13" s="29"/>
      <c r="S13" s="29"/>
      <c r="T13" s="29"/>
      <c r="U13" s="29"/>
      <c r="V13" s="29"/>
      <c r="W13" s="38"/>
    </row>
    <row r="14" spans="1:23" ht="89.2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7"/>
      <c r="L14" s="28">
        <v>40</v>
      </c>
      <c r="M14" s="27">
        <f t="shared" si="1"/>
        <v>0</v>
      </c>
      <c r="N14" s="27">
        <f t="shared" si="0"/>
        <v>0</v>
      </c>
      <c r="O14" s="29"/>
      <c r="P14" s="29"/>
      <c r="Q14" s="29"/>
      <c r="R14" s="29"/>
      <c r="S14" s="29"/>
      <c r="T14" s="29"/>
      <c r="U14" s="29"/>
      <c r="V14" s="29"/>
      <c r="W14" s="38"/>
    </row>
    <row r="15" spans="1:23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7"/>
      <c r="L15" s="28">
        <v>40</v>
      </c>
      <c r="M15" s="27">
        <f t="shared" si="1"/>
        <v>0</v>
      </c>
      <c r="N15" s="27">
        <f t="shared" si="0"/>
        <v>0</v>
      </c>
      <c r="O15" s="29"/>
      <c r="P15" s="29"/>
      <c r="Q15" s="29"/>
      <c r="R15" s="29"/>
      <c r="S15" s="29"/>
      <c r="T15" s="29"/>
      <c r="U15" s="29"/>
      <c r="V15" s="29"/>
      <c r="W15" s="38"/>
    </row>
    <row r="16" spans="1:23" ht="127.5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7"/>
      <c r="L16" s="28">
        <v>40</v>
      </c>
      <c r="M16" s="27">
        <f t="shared" si="1"/>
        <v>0</v>
      </c>
      <c r="N16" s="27">
        <f t="shared" si="0"/>
        <v>0</v>
      </c>
      <c r="O16" s="29"/>
      <c r="P16" s="29"/>
      <c r="Q16" s="29"/>
      <c r="R16" s="29"/>
      <c r="S16" s="29"/>
      <c r="T16" s="29"/>
      <c r="U16" s="29"/>
      <c r="V16" s="29"/>
      <c r="W16" s="40"/>
    </row>
    <row r="17" spans="1:23" ht="60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>
        <v>7075.06</v>
      </c>
      <c r="K17" s="27"/>
      <c r="L17" s="28">
        <v>40</v>
      </c>
      <c r="M17" s="27">
        <f t="shared" si="1"/>
        <v>176.87650000000002</v>
      </c>
      <c r="N17" s="27">
        <f t="shared" si="0"/>
        <v>7075.0600000000013</v>
      </c>
      <c r="O17" s="112" t="s">
        <v>493</v>
      </c>
      <c r="P17" s="124">
        <v>40</v>
      </c>
      <c r="Q17" s="124">
        <v>4110</v>
      </c>
      <c r="R17" s="124" t="s">
        <v>277</v>
      </c>
      <c r="S17" s="29"/>
      <c r="T17" s="112" t="s">
        <v>494</v>
      </c>
      <c r="U17" s="124" t="s">
        <v>17</v>
      </c>
      <c r="V17" s="112" t="s">
        <v>495</v>
      </c>
      <c r="W17" s="38" t="s">
        <v>496</v>
      </c>
    </row>
    <row r="18" spans="1:23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7"/>
      <c r="L18" s="28">
        <v>40</v>
      </c>
      <c r="M18" s="27">
        <f t="shared" si="1"/>
        <v>0</v>
      </c>
      <c r="N18" s="27">
        <f t="shared" si="0"/>
        <v>0</v>
      </c>
      <c r="O18" s="29"/>
      <c r="P18" s="29"/>
      <c r="Q18" s="29"/>
      <c r="R18" s="29"/>
      <c r="S18" s="29"/>
      <c r="T18" s="29"/>
      <c r="U18" s="29"/>
      <c r="V18" s="29"/>
      <c r="W18" s="38"/>
    </row>
    <row r="19" spans="1:23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7"/>
      <c r="L19" s="28">
        <v>40</v>
      </c>
      <c r="M19" s="27">
        <f t="shared" si="1"/>
        <v>0</v>
      </c>
      <c r="N19" s="27">
        <f t="shared" si="0"/>
        <v>0</v>
      </c>
      <c r="O19" s="29"/>
      <c r="P19" s="29"/>
      <c r="Q19" s="29"/>
      <c r="R19" s="29"/>
      <c r="S19" s="29"/>
      <c r="T19" s="29"/>
      <c r="U19" s="29"/>
      <c r="V19" s="29"/>
      <c r="W19" s="38"/>
    </row>
    <row r="20" spans="1:23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7"/>
      <c r="L20" s="28">
        <v>40</v>
      </c>
      <c r="M20" s="27">
        <f t="shared" si="1"/>
        <v>0</v>
      </c>
      <c r="N20" s="27">
        <f t="shared" si="0"/>
        <v>0</v>
      </c>
      <c r="O20" s="29"/>
      <c r="P20" s="29"/>
      <c r="Q20" s="29"/>
      <c r="R20" s="29"/>
      <c r="S20" s="29"/>
      <c r="T20" s="29"/>
      <c r="U20" s="29"/>
      <c r="V20" s="29"/>
      <c r="W20" s="38"/>
    </row>
    <row r="21" spans="1:23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7"/>
      <c r="L21" s="28">
        <v>40</v>
      </c>
      <c r="M21" s="27">
        <f t="shared" si="1"/>
        <v>0</v>
      </c>
      <c r="N21" s="27">
        <f t="shared" si="0"/>
        <v>0</v>
      </c>
      <c r="O21" s="29"/>
      <c r="P21" s="29"/>
      <c r="Q21" s="29"/>
      <c r="R21" s="29"/>
      <c r="S21" s="29"/>
      <c r="T21" s="29"/>
      <c r="U21" s="29"/>
      <c r="V21" s="29"/>
      <c r="W21" s="40"/>
    </row>
    <row r="22" spans="1:23" ht="140.2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7"/>
      <c r="L22" s="28">
        <v>40</v>
      </c>
      <c r="M22" s="27">
        <f t="shared" si="1"/>
        <v>0</v>
      </c>
      <c r="N22" s="27">
        <f t="shared" si="0"/>
        <v>0</v>
      </c>
      <c r="O22" s="29"/>
      <c r="P22" s="29"/>
      <c r="Q22" s="29"/>
      <c r="R22" s="29"/>
      <c r="S22" s="29"/>
      <c r="T22" s="29"/>
      <c r="U22" s="29"/>
      <c r="V22" s="29"/>
      <c r="W22" s="40"/>
    </row>
    <row r="23" spans="1:23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7"/>
      <c r="L23" s="28">
        <v>40</v>
      </c>
      <c r="M23" s="27">
        <f t="shared" si="1"/>
        <v>0</v>
      </c>
      <c r="N23" s="27">
        <f t="shared" si="0"/>
        <v>0</v>
      </c>
      <c r="O23" s="29"/>
      <c r="P23" s="29"/>
      <c r="Q23" s="29"/>
      <c r="R23" s="29"/>
      <c r="S23" s="29"/>
      <c r="T23" s="29"/>
      <c r="U23" s="29"/>
      <c r="V23" s="29"/>
      <c r="W23" s="38"/>
    </row>
    <row r="24" spans="1:23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7"/>
      <c r="L24" s="28">
        <v>40</v>
      </c>
      <c r="M24" s="27">
        <f t="shared" si="1"/>
        <v>0</v>
      </c>
      <c r="N24" s="27">
        <f t="shared" si="0"/>
        <v>0</v>
      </c>
      <c r="O24" s="29"/>
      <c r="P24" s="29"/>
      <c r="Q24" s="29"/>
      <c r="R24" s="29"/>
      <c r="S24" s="29"/>
      <c r="T24" s="29"/>
      <c r="U24" s="29"/>
      <c r="V24" s="29"/>
      <c r="W24" s="38"/>
    </row>
    <row r="25" spans="1:23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7"/>
      <c r="L25" s="28">
        <v>40</v>
      </c>
      <c r="M25" s="27">
        <f t="shared" si="1"/>
        <v>0</v>
      </c>
      <c r="N25" s="27">
        <f t="shared" si="0"/>
        <v>0</v>
      </c>
      <c r="O25" s="29"/>
      <c r="P25" s="29"/>
      <c r="Q25" s="29"/>
      <c r="R25" s="29"/>
      <c r="S25" s="29"/>
      <c r="T25" s="29"/>
      <c r="U25" s="29"/>
      <c r="V25" s="29"/>
      <c r="W25" s="40"/>
    </row>
    <row r="26" spans="1:23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7"/>
      <c r="L26" s="28">
        <v>40</v>
      </c>
      <c r="M26" s="27">
        <f t="shared" si="1"/>
        <v>0</v>
      </c>
      <c r="N26" s="27">
        <f t="shared" si="0"/>
        <v>0</v>
      </c>
      <c r="O26" s="29"/>
      <c r="P26" s="29"/>
      <c r="Q26" s="29"/>
      <c r="R26" s="29"/>
      <c r="S26" s="29"/>
      <c r="T26" s="29"/>
      <c r="U26" s="29"/>
      <c r="V26" s="29"/>
      <c r="W26" s="38"/>
    </row>
    <row r="27" spans="1:23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7"/>
      <c r="L27" s="28">
        <v>40</v>
      </c>
      <c r="M27" s="27">
        <f t="shared" si="1"/>
        <v>0</v>
      </c>
      <c r="N27" s="27">
        <f t="shared" si="0"/>
        <v>0</v>
      </c>
      <c r="O27" s="29"/>
      <c r="P27" s="29"/>
      <c r="Q27" s="29"/>
      <c r="R27" s="29"/>
      <c r="S27" s="29"/>
      <c r="T27" s="29"/>
      <c r="U27" s="29"/>
      <c r="V27" s="29"/>
      <c r="W27" s="38"/>
    </row>
    <row r="28" spans="1:23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7"/>
      <c r="L28" s="28">
        <v>40</v>
      </c>
      <c r="M28" s="27">
        <f t="shared" si="1"/>
        <v>0</v>
      </c>
      <c r="N28" s="27">
        <f t="shared" si="0"/>
        <v>0</v>
      </c>
      <c r="O28" s="29"/>
      <c r="P28" s="29"/>
      <c r="Q28" s="29"/>
      <c r="R28" s="29"/>
      <c r="S28" s="29"/>
      <c r="T28" s="29"/>
      <c r="U28" s="29"/>
      <c r="V28" s="29"/>
      <c r="W28" s="38"/>
    </row>
    <row r="29" spans="1:23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7"/>
      <c r="L29" s="28">
        <v>40</v>
      </c>
      <c r="M29" s="27">
        <f t="shared" si="1"/>
        <v>0</v>
      </c>
      <c r="N29" s="27">
        <f t="shared" si="0"/>
        <v>0</v>
      </c>
      <c r="O29" s="29"/>
      <c r="P29" s="29"/>
      <c r="Q29" s="29"/>
      <c r="R29" s="29"/>
      <c r="S29" s="29"/>
      <c r="T29" s="29"/>
      <c r="U29" s="29"/>
      <c r="V29" s="29"/>
      <c r="W29" s="38"/>
    </row>
    <row r="30" spans="1:23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7"/>
      <c r="L30" s="28">
        <v>40</v>
      </c>
      <c r="M30" s="27">
        <f t="shared" si="1"/>
        <v>0</v>
      </c>
      <c r="N30" s="27">
        <f t="shared" si="0"/>
        <v>0</v>
      </c>
      <c r="O30" s="29"/>
      <c r="P30" s="29"/>
      <c r="Q30" s="29"/>
      <c r="R30" s="29"/>
      <c r="S30" s="29"/>
      <c r="T30" s="29"/>
      <c r="U30" s="29"/>
      <c r="V30" s="29"/>
      <c r="W30" s="38"/>
    </row>
    <row r="31" spans="1:23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7"/>
      <c r="L31" s="28">
        <v>40</v>
      </c>
      <c r="M31" s="27">
        <f t="shared" si="1"/>
        <v>0</v>
      </c>
      <c r="N31" s="27">
        <f t="shared" si="0"/>
        <v>0</v>
      </c>
      <c r="O31" s="29"/>
      <c r="P31" s="29"/>
      <c r="Q31" s="29"/>
      <c r="R31" s="29"/>
      <c r="S31" s="29"/>
      <c r="T31" s="29"/>
      <c r="U31" s="29"/>
      <c r="V31" s="29"/>
      <c r="W31" s="38"/>
    </row>
    <row r="32" spans="1:23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7"/>
      <c r="L32" s="28">
        <v>40</v>
      </c>
      <c r="M32" s="27">
        <f t="shared" si="1"/>
        <v>0</v>
      </c>
      <c r="N32" s="27">
        <f t="shared" si="0"/>
        <v>0</v>
      </c>
      <c r="O32" s="29"/>
      <c r="P32" s="29"/>
      <c r="Q32" s="29"/>
      <c r="R32" s="29"/>
      <c r="S32" s="29"/>
      <c r="T32" s="29"/>
      <c r="U32" s="29"/>
      <c r="V32" s="29"/>
      <c r="W32" s="38"/>
    </row>
    <row r="33" spans="1:23" ht="89.25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7"/>
      <c r="L33" s="28">
        <v>40</v>
      </c>
      <c r="M33" s="27">
        <f t="shared" si="1"/>
        <v>0</v>
      </c>
      <c r="N33" s="27">
        <f t="shared" si="0"/>
        <v>0</v>
      </c>
      <c r="O33" s="29"/>
      <c r="P33" s="29"/>
      <c r="Q33" s="29"/>
      <c r="R33" s="29"/>
      <c r="S33" s="29"/>
      <c r="T33" s="29"/>
      <c r="U33" s="29"/>
      <c r="V33" s="29"/>
      <c r="W33" s="38"/>
    </row>
    <row r="34" spans="1:23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7"/>
      <c r="L34" s="28">
        <v>40</v>
      </c>
      <c r="M34" s="27">
        <f t="shared" si="1"/>
        <v>0</v>
      </c>
      <c r="N34" s="27">
        <f t="shared" si="0"/>
        <v>0</v>
      </c>
      <c r="O34" s="29"/>
      <c r="P34" s="29"/>
      <c r="Q34" s="29"/>
      <c r="R34" s="29"/>
      <c r="S34" s="29"/>
      <c r="T34" s="29"/>
      <c r="U34" s="29"/>
      <c r="V34" s="29"/>
      <c r="W34" s="38"/>
    </row>
    <row r="35" spans="1:23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7"/>
      <c r="L35" s="28">
        <v>40</v>
      </c>
      <c r="M35" s="27">
        <f t="shared" si="1"/>
        <v>0</v>
      </c>
      <c r="N35" s="27">
        <f t="shared" si="0"/>
        <v>0</v>
      </c>
      <c r="O35" s="29"/>
      <c r="P35" s="29"/>
      <c r="Q35" s="29"/>
      <c r="R35" s="29"/>
      <c r="S35" s="29"/>
      <c r="T35" s="29"/>
      <c r="U35" s="29"/>
      <c r="V35" s="29"/>
      <c r="W35" s="38"/>
    </row>
    <row r="36" spans="1:23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2"/>
      <c r="L36" s="43">
        <v>40</v>
      </c>
      <c r="M36" s="42">
        <f t="shared" si="1"/>
        <v>0</v>
      </c>
      <c r="N36" s="42">
        <f t="shared" si="0"/>
        <v>0</v>
      </c>
      <c r="O36" s="44"/>
      <c r="P36" s="44"/>
      <c r="Q36" s="44"/>
      <c r="R36" s="44"/>
      <c r="S36" s="44"/>
      <c r="T36" s="44"/>
      <c r="U36" s="44"/>
      <c r="V36" s="44"/>
      <c r="W36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zoomScale="80" zoomScaleNormal="80" workbookViewId="0">
      <selection activeCell="C21" sqref="C21:C36"/>
    </sheetView>
  </sheetViews>
  <sheetFormatPr defaultRowHeight="15" x14ac:dyDescent="0.25"/>
  <cols>
    <col min="1" max="1" width="17.7109375" style="5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28515625" style="6" customWidth="1"/>
    <col min="6" max="6" width="10.5703125" style="6" customWidth="1"/>
    <col min="7" max="7" width="7.85546875" style="6" customWidth="1"/>
    <col min="8" max="8" width="57.5703125" style="6" customWidth="1"/>
    <col min="9" max="9" width="14.140625" style="123" customWidth="1"/>
    <col min="10" max="10" width="15.140625" style="110" customWidth="1"/>
    <col min="11" max="11" width="11.85546875" style="8" customWidth="1"/>
    <col min="12" max="12" width="11.140625" style="7" customWidth="1"/>
    <col min="13" max="13" width="14.5703125" style="7" customWidth="1"/>
    <col min="14" max="14" width="43.28515625" style="105" customWidth="1"/>
    <col min="15" max="15" width="23.140625" customWidth="1"/>
  </cols>
  <sheetData>
    <row r="1" spans="1:14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86" t="s">
        <v>9</v>
      </c>
      <c r="K1" s="65" t="s">
        <v>10</v>
      </c>
      <c r="L1" s="64" t="s">
        <v>11</v>
      </c>
      <c r="M1" s="64" t="s">
        <v>12</v>
      </c>
      <c r="N1" s="111" t="s">
        <v>146</v>
      </c>
    </row>
    <row r="2" spans="1:14" ht="76.5" x14ac:dyDescent="0.25">
      <c r="A2" s="49" t="s">
        <v>14</v>
      </c>
      <c r="B2" s="55">
        <v>40</v>
      </c>
      <c r="C2" s="56">
        <v>411010</v>
      </c>
      <c r="D2" s="57" t="s">
        <v>15</v>
      </c>
      <c r="E2" s="57"/>
      <c r="F2" s="57" t="s">
        <v>16</v>
      </c>
      <c r="G2" s="57" t="s">
        <v>17</v>
      </c>
      <c r="H2" s="91" t="s">
        <v>18</v>
      </c>
      <c r="I2" s="117">
        <v>2721.4733710595206</v>
      </c>
      <c r="J2" s="87">
        <v>2251.87</v>
      </c>
      <c r="K2" s="68">
        <v>42</v>
      </c>
      <c r="L2" s="67">
        <f t="shared" ref="L2:L36" si="0">J2/K2</f>
        <v>53.615952380952379</v>
      </c>
      <c r="M2" s="67">
        <f t="shared" ref="M2:M36" si="1">L2*B2</f>
        <v>2144.638095238095</v>
      </c>
      <c r="N2" s="102" t="s">
        <v>147</v>
      </c>
    </row>
    <row r="3" spans="1:14" ht="76.5" x14ac:dyDescent="0.25">
      <c r="A3" s="50" t="s">
        <v>19</v>
      </c>
      <c r="B3" s="58">
        <v>40</v>
      </c>
      <c r="C3" s="59">
        <v>411010</v>
      </c>
      <c r="D3" s="60" t="s">
        <v>15</v>
      </c>
      <c r="E3" s="60"/>
      <c r="F3" s="60" t="s">
        <v>20</v>
      </c>
      <c r="G3" s="60" t="s">
        <v>21</v>
      </c>
      <c r="H3" s="92" t="s">
        <v>22</v>
      </c>
      <c r="I3" s="118">
        <v>3525.8529983600006</v>
      </c>
      <c r="J3" s="88">
        <v>2823.12</v>
      </c>
      <c r="K3" s="71">
        <v>42</v>
      </c>
      <c r="L3" s="70">
        <f t="shared" si="0"/>
        <v>67.217142857142861</v>
      </c>
      <c r="M3" s="70">
        <f t="shared" si="1"/>
        <v>2688.6857142857143</v>
      </c>
      <c r="N3" s="103" t="s">
        <v>148</v>
      </c>
    </row>
    <row r="4" spans="1:14" ht="85.5" customHeight="1" x14ac:dyDescent="0.25">
      <c r="A4" s="51" t="s">
        <v>23</v>
      </c>
      <c r="B4" s="58">
        <v>40</v>
      </c>
      <c r="C4" s="59">
        <v>252305</v>
      </c>
      <c r="D4" s="60" t="s">
        <v>15</v>
      </c>
      <c r="E4" s="60"/>
      <c r="F4" s="60" t="s">
        <v>16</v>
      </c>
      <c r="G4" s="60" t="s">
        <v>17</v>
      </c>
      <c r="H4" s="92" t="s">
        <v>24</v>
      </c>
      <c r="I4" s="118">
        <v>4768.06052287488</v>
      </c>
      <c r="J4" s="88">
        <v>8425.2999999999993</v>
      </c>
      <c r="K4" s="71">
        <v>41</v>
      </c>
      <c r="L4" s="70">
        <f t="shared" si="0"/>
        <v>205.49512195121949</v>
      </c>
      <c r="M4" s="70">
        <f t="shared" si="1"/>
        <v>8219.8048780487788</v>
      </c>
      <c r="N4" s="103" t="s">
        <v>149</v>
      </c>
    </row>
    <row r="5" spans="1:14" ht="114.75" x14ac:dyDescent="0.25">
      <c r="A5" s="50" t="s">
        <v>25</v>
      </c>
      <c r="B5" s="58">
        <v>40</v>
      </c>
      <c r="C5" s="59">
        <v>252105</v>
      </c>
      <c r="D5" s="60" t="s">
        <v>26</v>
      </c>
      <c r="E5" s="60"/>
      <c r="F5" s="60" t="s">
        <v>27</v>
      </c>
      <c r="G5" s="60" t="s">
        <v>28</v>
      </c>
      <c r="H5" s="93" t="s">
        <v>29</v>
      </c>
      <c r="I5" s="121">
        <v>3525.86</v>
      </c>
      <c r="J5" s="109">
        <v>4802.12</v>
      </c>
      <c r="K5" s="71">
        <v>42</v>
      </c>
      <c r="L5" s="70">
        <f t="shared" si="0"/>
        <v>114.33619047619047</v>
      </c>
      <c r="M5" s="70">
        <f t="shared" si="1"/>
        <v>4573.4476190476189</v>
      </c>
      <c r="N5" s="103" t="s">
        <v>150</v>
      </c>
    </row>
    <row r="6" spans="1:14" ht="114.75" x14ac:dyDescent="0.25">
      <c r="A6" s="50" t="s">
        <v>30</v>
      </c>
      <c r="B6" s="58">
        <v>40</v>
      </c>
      <c r="C6" s="59">
        <v>252105</v>
      </c>
      <c r="D6" s="60" t="s">
        <v>26</v>
      </c>
      <c r="E6" s="60"/>
      <c r="F6" s="60" t="s">
        <v>16</v>
      </c>
      <c r="G6" s="60" t="s">
        <v>17</v>
      </c>
      <c r="H6" s="93" t="s">
        <v>29</v>
      </c>
      <c r="I6" s="118">
        <v>4768.06052287488</v>
      </c>
      <c r="J6" s="88">
        <v>5159.66</v>
      </c>
      <c r="K6" s="71">
        <v>42</v>
      </c>
      <c r="L6" s="70">
        <f t="shared" si="0"/>
        <v>122.84904761904761</v>
      </c>
      <c r="M6" s="70">
        <f t="shared" si="1"/>
        <v>4913.9619047619044</v>
      </c>
      <c r="N6" s="103" t="s">
        <v>151</v>
      </c>
    </row>
    <row r="7" spans="1:14" ht="153" x14ac:dyDescent="0.25">
      <c r="A7" s="52" t="s">
        <v>31</v>
      </c>
      <c r="B7" s="58">
        <v>40</v>
      </c>
      <c r="C7" s="59">
        <v>252105</v>
      </c>
      <c r="D7" s="60" t="s">
        <v>26</v>
      </c>
      <c r="E7" s="60" t="s">
        <v>32</v>
      </c>
      <c r="F7" s="60" t="s">
        <v>33</v>
      </c>
      <c r="G7" s="60" t="s">
        <v>21</v>
      </c>
      <c r="H7" s="93" t="s">
        <v>34</v>
      </c>
      <c r="I7" s="118">
        <v>5559.5559680000006</v>
      </c>
      <c r="J7" s="88">
        <v>6523.88</v>
      </c>
      <c r="K7" s="71">
        <v>42</v>
      </c>
      <c r="L7" s="70">
        <f t="shared" si="0"/>
        <v>155.33047619047619</v>
      </c>
      <c r="M7" s="70">
        <f t="shared" si="1"/>
        <v>6213.2190476190481</v>
      </c>
      <c r="N7" s="103" t="s">
        <v>152</v>
      </c>
    </row>
    <row r="8" spans="1:14" ht="153" x14ac:dyDescent="0.25">
      <c r="A8" s="52" t="s">
        <v>35</v>
      </c>
      <c r="B8" s="58">
        <v>40</v>
      </c>
      <c r="C8" s="59">
        <v>252105</v>
      </c>
      <c r="D8" s="60" t="s">
        <v>26</v>
      </c>
      <c r="E8" s="60" t="s">
        <v>32</v>
      </c>
      <c r="F8" s="60" t="s">
        <v>36</v>
      </c>
      <c r="G8" s="60" t="s">
        <v>37</v>
      </c>
      <c r="H8" s="93" t="s">
        <v>34</v>
      </c>
      <c r="I8" s="118">
        <v>5837.4998235769608</v>
      </c>
      <c r="J8" s="101">
        <f>(10006.9+6523.88)/2</f>
        <v>8265.39</v>
      </c>
      <c r="K8" s="71">
        <v>42</v>
      </c>
      <c r="L8" s="70">
        <f t="shared" si="0"/>
        <v>196.79499999999999</v>
      </c>
      <c r="M8" s="70">
        <f t="shared" si="1"/>
        <v>7871.7999999999993</v>
      </c>
      <c r="N8" s="103" t="s">
        <v>153</v>
      </c>
    </row>
    <row r="9" spans="1:14" ht="76.5" x14ac:dyDescent="0.25">
      <c r="A9" s="52" t="s">
        <v>38</v>
      </c>
      <c r="B9" s="58">
        <v>40</v>
      </c>
      <c r="C9" s="59">
        <v>374405</v>
      </c>
      <c r="D9" s="60" t="s">
        <v>15</v>
      </c>
      <c r="E9" s="60" t="s">
        <v>39</v>
      </c>
      <c r="F9" s="60" t="s">
        <v>16</v>
      </c>
      <c r="G9" s="60" t="s">
        <v>17</v>
      </c>
      <c r="H9" s="92" t="s">
        <v>40</v>
      </c>
      <c r="I9" s="119">
        <v>3525.8529983600006</v>
      </c>
      <c r="J9" s="88">
        <v>3420.29</v>
      </c>
      <c r="K9" s="71">
        <v>40</v>
      </c>
      <c r="L9" s="70">
        <f t="shared" si="0"/>
        <v>85.507249999999999</v>
      </c>
      <c r="M9" s="70">
        <f t="shared" si="1"/>
        <v>3420.29</v>
      </c>
      <c r="N9" s="103" t="s">
        <v>154</v>
      </c>
    </row>
    <row r="10" spans="1:14" ht="89.25" x14ac:dyDescent="0.25">
      <c r="A10" s="52" t="s">
        <v>41</v>
      </c>
      <c r="B10" s="58">
        <v>40</v>
      </c>
      <c r="C10" s="59">
        <v>373205</v>
      </c>
      <c r="D10" s="60" t="s">
        <v>15</v>
      </c>
      <c r="E10" s="60" t="s">
        <v>39</v>
      </c>
      <c r="F10" s="60" t="s">
        <v>16</v>
      </c>
      <c r="G10" s="60" t="s">
        <v>17</v>
      </c>
      <c r="H10" s="92" t="s">
        <v>42</v>
      </c>
      <c r="I10" s="119">
        <v>3525.8529983600006</v>
      </c>
      <c r="J10" s="88">
        <v>4145.93</v>
      </c>
      <c r="K10" s="71">
        <v>37</v>
      </c>
      <c r="L10" s="70">
        <f t="shared" si="0"/>
        <v>112.05216216216218</v>
      </c>
      <c r="M10" s="70">
        <f t="shared" si="1"/>
        <v>4482.086486486487</v>
      </c>
      <c r="N10" s="103" t="s">
        <v>155</v>
      </c>
    </row>
    <row r="11" spans="1:14" ht="102" x14ac:dyDescent="0.25">
      <c r="A11" s="52" t="s">
        <v>43</v>
      </c>
      <c r="B11" s="58">
        <v>40</v>
      </c>
      <c r="C11" s="59">
        <v>313215</v>
      </c>
      <c r="D11" s="60" t="s">
        <v>15</v>
      </c>
      <c r="E11" s="60" t="s">
        <v>44</v>
      </c>
      <c r="F11" s="60" t="s">
        <v>16</v>
      </c>
      <c r="G11" s="60" t="s">
        <v>17</v>
      </c>
      <c r="H11" s="92" t="s">
        <v>45</v>
      </c>
      <c r="I11" s="119">
        <v>3525.8529983600006</v>
      </c>
      <c r="J11" s="88">
        <v>2417.08</v>
      </c>
      <c r="K11" s="71">
        <v>43</v>
      </c>
      <c r="L11" s="70">
        <f t="shared" si="0"/>
        <v>56.211162790697671</v>
      </c>
      <c r="M11" s="70">
        <f t="shared" si="1"/>
        <v>2248.4465116279071</v>
      </c>
      <c r="N11" s="103" t="s">
        <v>156</v>
      </c>
    </row>
    <row r="12" spans="1:14" ht="114" customHeight="1" x14ac:dyDescent="0.25">
      <c r="A12" s="52" t="s">
        <v>47</v>
      </c>
      <c r="B12" s="58">
        <v>40</v>
      </c>
      <c r="C12" s="59">
        <v>351605</v>
      </c>
      <c r="D12" s="60" t="s">
        <v>15</v>
      </c>
      <c r="E12" s="60" t="s">
        <v>48</v>
      </c>
      <c r="F12" s="60" t="s">
        <v>16</v>
      </c>
      <c r="G12" s="60" t="s">
        <v>17</v>
      </c>
      <c r="H12" s="92" t="s">
        <v>49</v>
      </c>
      <c r="I12" s="119">
        <v>4278.2939400000005</v>
      </c>
      <c r="J12" s="88">
        <v>3335.36</v>
      </c>
      <c r="K12" s="71">
        <v>43</v>
      </c>
      <c r="L12" s="70">
        <f t="shared" si="0"/>
        <v>77.566511627906976</v>
      </c>
      <c r="M12" s="70">
        <f t="shared" si="1"/>
        <v>3102.6604651162788</v>
      </c>
      <c r="N12" s="103" t="s">
        <v>157</v>
      </c>
    </row>
    <row r="13" spans="1:14" ht="102" x14ac:dyDescent="0.25">
      <c r="A13" s="52" t="s">
        <v>50</v>
      </c>
      <c r="B13" s="58">
        <v>40</v>
      </c>
      <c r="C13" s="59">
        <v>261205</v>
      </c>
      <c r="D13" s="60" t="s">
        <v>51</v>
      </c>
      <c r="E13" s="60" t="s">
        <v>52</v>
      </c>
      <c r="F13" s="60" t="s">
        <v>16</v>
      </c>
      <c r="G13" s="60" t="s">
        <v>17</v>
      </c>
      <c r="H13" s="92" t="s">
        <v>53</v>
      </c>
      <c r="I13" s="118">
        <v>4317.0823782979196</v>
      </c>
      <c r="J13" s="88">
        <v>4968.21</v>
      </c>
      <c r="K13" s="71">
        <v>39</v>
      </c>
      <c r="L13" s="70">
        <f t="shared" si="0"/>
        <v>127.39</v>
      </c>
      <c r="M13" s="70">
        <f t="shared" si="1"/>
        <v>5095.6000000000004</v>
      </c>
      <c r="N13" s="103" t="s">
        <v>158</v>
      </c>
    </row>
    <row r="14" spans="1:14" ht="89.25" x14ac:dyDescent="0.25">
      <c r="A14" s="52" t="s">
        <v>54</v>
      </c>
      <c r="B14" s="58">
        <v>40</v>
      </c>
      <c r="C14" s="59">
        <v>261125</v>
      </c>
      <c r="D14" s="60" t="s">
        <v>51</v>
      </c>
      <c r="E14" s="60" t="s">
        <v>55</v>
      </c>
      <c r="F14" s="60" t="s">
        <v>20</v>
      </c>
      <c r="G14" s="60" t="s">
        <v>21</v>
      </c>
      <c r="H14" s="92" t="s">
        <v>56</v>
      </c>
      <c r="I14" s="118">
        <v>5450.1268685001596</v>
      </c>
      <c r="J14" s="88">
        <v>5248.17</v>
      </c>
      <c r="K14" s="71">
        <v>39</v>
      </c>
      <c r="L14" s="70">
        <f t="shared" si="0"/>
        <v>134.56846153846155</v>
      </c>
      <c r="M14" s="70">
        <f t="shared" si="1"/>
        <v>5382.7384615384617</v>
      </c>
      <c r="N14" s="103" t="s">
        <v>159</v>
      </c>
    </row>
    <row r="15" spans="1:14" ht="127.5" x14ac:dyDescent="0.25">
      <c r="A15" s="52" t="s">
        <v>57</v>
      </c>
      <c r="B15" s="58">
        <v>40</v>
      </c>
      <c r="C15" s="59">
        <v>239410</v>
      </c>
      <c r="D15" s="60" t="s">
        <v>51</v>
      </c>
      <c r="E15" s="60" t="s">
        <v>55</v>
      </c>
      <c r="F15" s="60" t="s">
        <v>20</v>
      </c>
      <c r="G15" s="60" t="s">
        <v>21</v>
      </c>
      <c r="H15" s="92" t="s">
        <v>58</v>
      </c>
      <c r="I15" s="118">
        <v>5450.13</v>
      </c>
      <c r="J15" s="88">
        <v>4965.0200000000004</v>
      </c>
      <c r="K15" s="71">
        <v>39</v>
      </c>
      <c r="L15" s="70">
        <f t="shared" si="0"/>
        <v>127.30820512820515</v>
      </c>
      <c r="M15" s="70">
        <f t="shared" si="1"/>
        <v>5092.3282051282058</v>
      </c>
      <c r="N15" s="103" t="s">
        <v>160</v>
      </c>
    </row>
    <row r="16" spans="1:14" ht="114.75" x14ac:dyDescent="0.25">
      <c r="A16" s="52" t="s">
        <v>59</v>
      </c>
      <c r="B16" s="58">
        <v>40</v>
      </c>
      <c r="C16" s="59">
        <v>261805</v>
      </c>
      <c r="D16" s="60" t="s">
        <v>60</v>
      </c>
      <c r="E16" s="60" t="s">
        <v>61</v>
      </c>
      <c r="F16" s="60" t="s">
        <v>20</v>
      </c>
      <c r="G16" s="60" t="s">
        <v>21</v>
      </c>
      <c r="H16" s="92" t="s">
        <v>62</v>
      </c>
      <c r="I16" s="119">
        <v>6207.1564731791996</v>
      </c>
      <c r="J16" s="88">
        <v>3011.99</v>
      </c>
      <c r="K16" s="71">
        <v>42</v>
      </c>
      <c r="L16" s="70">
        <f t="shared" si="0"/>
        <v>71.714047619047619</v>
      </c>
      <c r="M16" s="70">
        <f t="shared" si="1"/>
        <v>2868.5619047619048</v>
      </c>
      <c r="N16" s="103" t="s">
        <v>161</v>
      </c>
    </row>
    <row r="17" spans="1:15" ht="51" x14ac:dyDescent="0.25">
      <c r="A17" s="52" t="s">
        <v>63</v>
      </c>
      <c r="B17" s="58">
        <v>40</v>
      </c>
      <c r="C17" s="59">
        <v>262410</v>
      </c>
      <c r="D17" s="60" t="s">
        <v>26</v>
      </c>
      <c r="E17" s="60"/>
      <c r="F17" s="60" t="s">
        <v>20</v>
      </c>
      <c r="G17" s="60" t="s">
        <v>21</v>
      </c>
      <c r="H17" s="92" t="s">
        <v>64</v>
      </c>
      <c r="I17" s="119">
        <v>7509.4989830291206</v>
      </c>
      <c r="J17" s="88">
        <v>6133.55</v>
      </c>
      <c r="K17" s="71">
        <v>42</v>
      </c>
      <c r="L17" s="70">
        <f t="shared" si="0"/>
        <v>146.03690476190476</v>
      </c>
      <c r="M17" s="70">
        <f t="shared" si="1"/>
        <v>5841.4761904761908</v>
      </c>
      <c r="N17" s="103" t="s">
        <v>162</v>
      </c>
    </row>
    <row r="18" spans="1:15" ht="89.25" x14ac:dyDescent="0.25">
      <c r="A18" s="52" t="s">
        <v>65</v>
      </c>
      <c r="B18" s="58">
        <v>40</v>
      </c>
      <c r="C18" s="59">
        <v>262410</v>
      </c>
      <c r="D18" s="60" t="s">
        <v>26</v>
      </c>
      <c r="E18" s="60" t="s">
        <v>55</v>
      </c>
      <c r="F18" s="60" t="s">
        <v>36</v>
      </c>
      <c r="G18" s="60" t="s">
        <v>37</v>
      </c>
      <c r="H18" s="92" t="s">
        <v>64</v>
      </c>
      <c r="I18" s="119">
        <v>8208.7108768649596</v>
      </c>
      <c r="J18" s="88">
        <f>(8168.55+6133.55)/2</f>
        <v>7151.05</v>
      </c>
      <c r="K18" s="71">
        <v>42</v>
      </c>
      <c r="L18" s="70">
        <f t="shared" si="0"/>
        <v>170.26309523809525</v>
      </c>
      <c r="M18" s="70">
        <f t="shared" si="1"/>
        <v>6810.5238095238101</v>
      </c>
      <c r="N18" s="103" t="s">
        <v>163</v>
      </c>
    </row>
    <row r="19" spans="1:15" ht="102" x14ac:dyDescent="0.25">
      <c r="A19" s="52" t="s">
        <v>66</v>
      </c>
      <c r="B19" s="58">
        <v>40</v>
      </c>
      <c r="C19" s="59">
        <v>261120</v>
      </c>
      <c r="D19" s="60" t="s">
        <v>26</v>
      </c>
      <c r="E19" s="60" t="s">
        <v>55</v>
      </c>
      <c r="F19" s="60" t="s">
        <v>36</v>
      </c>
      <c r="G19" s="60" t="s">
        <v>37</v>
      </c>
      <c r="H19" s="92" t="s">
        <v>164</v>
      </c>
      <c r="I19" s="119">
        <v>10442.711883887359</v>
      </c>
      <c r="J19" s="88">
        <f>(6896.73+5693.99)/2</f>
        <v>6295.36</v>
      </c>
      <c r="K19" s="71">
        <v>35</v>
      </c>
      <c r="L19" s="70">
        <f t="shared" si="0"/>
        <v>179.86742857142858</v>
      </c>
      <c r="M19" s="70">
        <f t="shared" si="1"/>
        <v>7194.6971428571433</v>
      </c>
      <c r="N19" s="103" t="s">
        <v>165</v>
      </c>
    </row>
    <row r="20" spans="1:15" ht="114.75" x14ac:dyDescent="0.25">
      <c r="A20" s="52" t="s">
        <v>68</v>
      </c>
      <c r="B20" s="58">
        <v>40</v>
      </c>
      <c r="C20" s="59">
        <v>214915</v>
      </c>
      <c r="D20" s="60" t="s">
        <v>26</v>
      </c>
      <c r="E20" s="60" t="s">
        <v>69</v>
      </c>
      <c r="F20" s="60" t="s">
        <v>16</v>
      </c>
      <c r="G20" s="60" t="s">
        <v>17</v>
      </c>
      <c r="H20" s="92" t="s">
        <v>70</v>
      </c>
      <c r="I20" s="119">
        <v>10401.213333333333</v>
      </c>
      <c r="J20" s="88">
        <v>9909.0499999999993</v>
      </c>
      <c r="K20" s="71">
        <v>40</v>
      </c>
      <c r="L20" s="70">
        <f t="shared" si="0"/>
        <v>247.72624999999999</v>
      </c>
      <c r="M20" s="70">
        <f t="shared" si="1"/>
        <v>9909.0499999999993</v>
      </c>
      <c r="N20" s="103" t="s">
        <v>166</v>
      </c>
    </row>
    <row r="21" spans="1:15" ht="140.25" x14ac:dyDescent="0.25">
      <c r="A21" s="52" t="s">
        <v>71</v>
      </c>
      <c r="B21" s="58">
        <v>40</v>
      </c>
      <c r="C21" s="59">
        <v>818110</v>
      </c>
      <c r="D21" s="60" t="s">
        <v>15</v>
      </c>
      <c r="E21" s="60" t="s">
        <v>72</v>
      </c>
      <c r="F21" s="60" t="s">
        <v>20</v>
      </c>
      <c r="G21" s="60" t="s">
        <v>21</v>
      </c>
      <c r="H21" s="92" t="s">
        <v>73</v>
      </c>
      <c r="I21" s="118">
        <v>2340.6941919999999</v>
      </c>
      <c r="J21" s="88">
        <v>3039.54</v>
      </c>
      <c r="K21" s="71">
        <v>40</v>
      </c>
      <c r="L21" s="70">
        <f t="shared" si="0"/>
        <v>75.988500000000002</v>
      </c>
      <c r="M21" s="70">
        <f t="shared" si="1"/>
        <v>3039.54</v>
      </c>
      <c r="N21" s="103" t="s">
        <v>167</v>
      </c>
    </row>
    <row r="22" spans="1:15" ht="140.25" x14ac:dyDescent="0.25">
      <c r="A22" s="52" t="s">
        <v>74</v>
      </c>
      <c r="B22" s="58">
        <v>40</v>
      </c>
      <c r="C22" s="59">
        <v>311105</v>
      </c>
      <c r="D22" s="60" t="s">
        <v>15</v>
      </c>
      <c r="E22" s="60" t="s">
        <v>75</v>
      </c>
      <c r="F22" s="60" t="s">
        <v>20</v>
      </c>
      <c r="G22" s="60" t="s">
        <v>21</v>
      </c>
      <c r="H22" s="92" t="s">
        <v>76</v>
      </c>
      <c r="I22" s="118">
        <v>3604.8115582617602</v>
      </c>
      <c r="J22" s="88">
        <v>3845.26</v>
      </c>
      <c r="K22" s="71">
        <v>42</v>
      </c>
      <c r="L22" s="70">
        <f t="shared" si="0"/>
        <v>91.553809523809534</v>
      </c>
      <c r="M22" s="70">
        <f t="shared" si="1"/>
        <v>3662.1523809523815</v>
      </c>
      <c r="N22" s="103" t="s">
        <v>168</v>
      </c>
    </row>
    <row r="23" spans="1:15" ht="127.5" x14ac:dyDescent="0.25">
      <c r="A23" s="52" t="s">
        <v>77</v>
      </c>
      <c r="B23" s="58">
        <v>20</v>
      </c>
      <c r="C23" s="59">
        <v>324130</v>
      </c>
      <c r="D23" s="60" t="s">
        <v>15</v>
      </c>
      <c r="E23" s="60" t="s">
        <v>78</v>
      </c>
      <c r="F23" s="60" t="s">
        <v>27</v>
      </c>
      <c r="G23" s="60" t="s">
        <v>28</v>
      </c>
      <c r="H23" s="92" t="s">
        <v>169</v>
      </c>
      <c r="I23" s="119">
        <v>1830.6685714285716</v>
      </c>
      <c r="J23" s="88">
        <v>1790.5</v>
      </c>
      <c r="K23" s="71">
        <v>37</v>
      </c>
      <c r="L23" s="70">
        <f t="shared" si="0"/>
        <v>48.391891891891895</v>
      </c>
      <c r="M23" s="70">
        <f t="shared" si="1"/>
        <v>967.83783783783792</v>
      </c>
      <c r="N23" s="103" t="s">
        <v>170</v>
      </c>
      <c r="O23" s="22"/>
    </row>
    <row r="24" spans="1:15" ht="63.75" x14ac:dyDescent="0.25">
      <c r="A24" s="52" t="s">
        <v>81</v>
      </c>
      <c r="B24" s="58">
        <v>40</v>
      </c>
      <c r="C24" s="59">
        <v>322205</v>
      </c>
      <c r="D24" s="60" t="s">
        <v>82</v>
      </c>
      <c r="E24" s="60" t="s">
        <v>83</v>
      </c>
      <c r="F24" s="60" t="s">
        <v>27</v>
      </c>
      <c r="G24" s="60" t="s">
        <v>28</v>
      </c>
      <c r="H24" s="92" t="s">
        <v>84</v>
      </c>
      <c r="I24" s="118">
        <v>3604.8115582617602</v>
      </c>
      <c r="J24" s="88">
        <v>1790.5</v>
      </c>
      <c r="K24" s="71">
        <v>37</v>
      </c>
      <c r="L24" s="70">
        <f t="shared" si="0"/>
        <v>48.391891891891895</v>
      </c>
      <c r="M24" s="70">
        <f t="shared" si="1"/>
        <v>1935.6756756756758</v>
      </c>
      <c r="N24" s="103" t="s">
        <v>171</v>
      </c>
    </row>
    <row r="25" spans="1:15" ht="75.75" customHeight="1" x14ac:dyDescent="0.25">
      <c r="A25" s="52" t="s">
        <v>85</v>
      </c>
      <c r="B25" s="58">
        <v>40</v>
      </c>
      <c r="C25" s="59">
        <v>322205</v>
      </c>
      <c r="D25" s="60" t="s">
        <v>86</v>
      </c>
      <c r="E25" s="60" t="s">
        <v>83</v>
      </c>
      <c r="F25" s="60" t="s">
        <v>20</v>
      </c>
      <c r="G25" s="60" t="s">
        <v>21</v>
      </c>
      <c r="H25" s="92" t="s">
        <v>84</v>
      </c>
      <c r="I25" s="118">
        <v>3604.8115582617602</v>
      </c>
      <c r="J25" s="88">
        <v>2421.19</v>
      </c>
      <c r="K25" s="71">
        <v>37</v>
      </c>
      <c r="L25" s="70">
        <f t="shared" si="0"/>
        <v>65.437567567567569</v>
      </c>
      <c r="M25" s="70">
        <f t="shared" si="1"/>
        <v>2617.5027027027027</v>
      </c>
      <c r="N25" s="103" t="s">
        <v>172</v>
      </c>
    </row>
    <row r="26" spans="1:15" ht="75.75" customHeight="1" x14ac:dyDescent="0.25">
      <c r="A26" s="52" t="s">
        <v>88</v>
      </c>
      <c r="B26" s="58">
        <v>40</v>
      </c>
      <c r="C26" s="59">
        <v>325115</v>
      </c>
      <c r="D26" s="60" t="s">
        <v>86</v>
      </c>
      <c r="E26" s="60"/>
      <c r="F26" s="60" t="s">
        <v>20</v>
      </c>
      <c r="G26" s="60" t="s">
        <v>21</v>
      </c>
      <c r="H26" s="92" t="s">
        <v>89</v>
      </c>
      <c r="I26" s="118">
        <v>3604.8115582617602</v>
      </c>
      <c r="J26" s="88">
        <v>2844.98</v>
      </c>
      <c r="K26" s="71">
        <v>39</v>
      </c>
      <c r="L26" s="70">
        <f t="shared" si="0"/>
        <v>72.948205128205132</v>
      </c>
      <c r="M26" s="70">
        <f t="shared" si="1"/>
        <v>2917.9282051282053</v>
      </c>
      <c r="N26" s="103" t="s">
        <v>173</v>
      </c>
    </row>
    <row r="27" spans="1:15" ht="153" x14ac:dyDescent="0.25">
      <c r="A27" s="52" t="s">
        <v>90</v>
      </c>
      <c r="B27" s="58">
        <v>30</v>
      </c>
      <c r="C27" s="59">
        <v>223605</v>
      </c>
      <c r="D27" s="60" t="s">
        <v>51</v>
      </c>
      <c r="E27" s="60" t="s">
        <v>91</v>
      </c>
      <c r="F27" s="60" t="s">
        <v>20</v>
      </c>
      <c r="G27" s="60" t="s">
        <v>21</v>
      </c>
      <c r="H27" s="92" t="s">
        <v>92</v>
      </c>
      <c r="I27" s="118">
        <v>4317.0823782979196</v>
      </c>
      <c r="J27" s="88">
        <v>4298.34</v>
      </c>
      <c r="K27" s="71">
        <v>31</v>
      </c>
      <c r="L27" s="70">
        <f t="shared" si="0"/>
        <v>138.65612903225806</v>
      </c>
      <c r="M27" s="70">
        <f t="shared" si="1"/>
        <v>4159.6838709677422</v>
      </c>
      <c r="N27" s="103" t="s">
        <v>174</v>
      </c>
    </row>
    <row r="28" spans="1:15" ht="127.5" x14ac:dyDescent="0.25">
      <c r="A28" s="52" t="s">
        <v>93</v>
      </c>
      <c r="B28" s="58">
        <v>40</v>
      </c>
      <c r="C28" s="59">
        <v>223710</v>
      </c>
      <c r="D28" s="60" t="s">
        <v>51</v>
      </c>
      <c r="E28" s="60" t="s">
        <v>94</v>
      </c>
      <c r="F28" s="60" t="s">
        <v>20</v>
      </c>
      <c r="G28" s="60" t="s">
        <v>21</v>
      </c>
      <c r="H28" s="92" t="s">
        <v>95</v>
      </c>
      <c r="I28" s="118">
        <v>4317.0823782979196</v>
      </c>
      <c r="J28" s="88">
        <v>4455.75</v>
      </c>
      <c r="K28" s="71">
        <v>39</v>
      </c>
      <c r="L28" s="70">
        <f t="shared" si="0"/>
        <v>114.25</v>
      </c>
      <c r="M28" s="70">
        <f t="shared" si="1"/>
        <v>4570</v>
      </c>
      <c r="N28" s="103" t="s">
        <v>175</v>
      </c>
    </row>
    <row r="29" spans="1:15" ht="102" x14ac:dyDescent="0.25">
      <c r="A29" s="52" t="s">
        <v>96</v>
      </c>
      <c r="B29" s="58">
        <v>40</v>
      </c>
      <c r="C29" s="59">
        <v>223405</v>
      </c>
      <c r="D29" s="60" t="s">
        <v>51</v>
      </c>
      <c r="E29" s="60" t="s">
        <v>97</v>
      </c>
      <c r="F29" s="60" t="s">
        <v>20</v>
      </c>
      <c r="G29" s="60" t="s">
        <v>21</v>
      </c>
      <c r="H29" s="92" t="s">
        <v>98</v>
      </c>
      <c r="I29" s="118">
        <v>5450.1303359999993</v>
      </c>
      <c r="J29" s="88">
        <v>5268.95</v>
      </c>
      <c r="K29" s="71">
        <v>41</v>
      </c>
      <c r="L29" s="70">
        <f t="shared" si="0"/>
        <v>128.51097560975609</v>
      </c>
      <c r="M29" s="70">
        <f t="shared" si="1"/>
        <v>5140.4390243902435</v>
      </c>
      <c r="N29" s="103" t="s">
        <v>176</v>
      </c>
    </row>
    <row r="30" spans="1:15" ht="102" x14ac:dyDescent="0.25">
      <c r="A30" s="52" t="s">
        <v>99</v>
      </c>
      <c r="B30" s="58">
        <v>40</v>
      </c>
      <c r="C30" s="59">
        <v>223405</v>
      </c>
      <c r="D30" s="60" t="s">
        <v>51</v>
      </c>
      <c r="E30" s="60" t="s">
        <v>100</v>
      </c>
      <c r="F30" s="60" t="s">
        <v>36</v>
      </c>
      <c r="G30" s="60" t="s">
        <v>37</v>
      </c>
      <c r="H30" s="92" t="s">
        <v>101</v>
      </c>
      <c r="I30" s="119">
        <v>6022.82</v>
      </c>
      <c r="J30" s="88">
        <f>(5666.84+5268.95)/2</f>
        <v>5467.8950000000004</v>
      </c>
      <c r="K30" s="71">
        <v>41</v>
      </c>
      <c r="L30" s="70">
        <f t="shared" si="0"/>
        <v>133.36329268292684</v>
      </c>
      <c r="M30" s="70">
        <f t="shared" si="1"/>
        <v>5334.5317073170736</v>
      </c>
      <c r="N30" s="103" t="s">
        <v>177</v>
      </c>
    </row>
    <row r="31" spans="1:15" ht="51" x14ac:dyDescent="0.25">
      <c r="A31" s="52" t="s">
        <v>103</v>
      </c>
      <c r="B31" s="58">
        <v>40</v>
      </c>
      <c r="C31" s="59">
        <v>221105</v>
      </c>
      <c r="D31" s="60" t="s">
        <v>51</v>
      </c>
      <c r="E31" s="60" t="s">
        <v>104</v>
      </c>
      <c r="F31" s="60" t="s">
        <v>20</v>
      </c>
      <c r="G31" s="60" t="s">
        <v>21</v>
      </c>
      <c r="H31" s="92" t="s">
        <v>105</v>
      </c>
      <c r="I31" s="119">
        <v>5450.1303359999993</v>
      </c>
      <c r="J31" s="88">
        <v>4667.1400000000003</v>
      </c>
      <c r="K31" s="71">
        <v>39</v>
      </c>
      <c r="L31" s="70">
        <f t="shared" si="0"/>
        <v>119.67025641025641</v>
      </c>
      <c r="M31" s="70">
        <f t="shared" si="1"/>
        <v>4786.8102564102564</v>
      </c>
      <c r="N31" s="103" t="s">
        <v>178</v>
      </c>
    </row>
    <row r="32" spans="1:15" ht="63.75" x14ac:dyDescent="0.25">
      <c r="A32" s="52" t="s">
        <v>106</v>
      </c>
      <c r="B32" s="58">
        <v>40</v>
      </c>
      <c r="C32" s="59">
        <v>223810</v>
      </c>
      <c r="D32" s="60" t="s">
        <v>51</v>
      </c>
      <c r="E32" s="60" t="s">
        <v>104</v>
      </c>
      <c r="F32" s="60" t="s">
        <v>20</v>
      </c>
      <c r="G32" s="60" t="s">
        <v>21</v>
      </c>
      <c r="H32" s="92" t="s">
        <v>107</v>
      </c>
      <c r="I32" s="119">
        <v>5450.1268685001596</v>
      </c>
      <c r="J32" s="88">
        <v>4224.82</v>
      </c>
      <c r="K32" s="71">
        <v>32</v>
      </c>
      <c r="L32" s="70">
        <f t="shared" si="0"/>
        <v>132.02562499999999</v>
      </c>
      <c r="M32" s="70">
        <f t="shared" si="1"/>
        <v>5281.0249999999996</v>
      </c>
      <c r="N32" s="103" t="s">
        <v>179</v>
      </c>
    </row>
    <row r="33" spans="1:14" ht="89.25" x14ac:dyDescent="0.25">
      <c r="A33" s="52" t="s">
        <v>108</v>
      </c>
      <c r="B33" s="58">
        <v>40</v>
      </c>
      <c r="C33" s="59">
        <v>213205</v>
      </c>
      <c r="D33" s="60" t="s">
        <v>51</v>
      </c>
      <c r="E33" s="60" t="s">
        <v>104</v>
      </c>
      <c r="F33" s="60" t="s">
        <v>20</v>
      </c>
      <c r="G33" s="60" t="s">
        <v>21</v>
      </c>
      <c r="H33" s="92" t="s">
        <v>109</v>
      </c>
      <c r="I33" s="119">
        <v>5450.1268685001596</v>
      </c>
      <c r="J33" s="88">
        <v>9680.0400000000009</v>
      </c>
      <c r="K33" s="71">
        <v>40</v>
      </c>
      <c r="L33" s="70">
        <f t="shared" si="0"/>
        <v>242.00100000000003</v>
      </c>
      <c r="M33" s="70">
        <f t="shared" si="1"/>
        <v>9680.0400000000009</v>
      </c>
      <c r="N33" s="103" t="s">
        <v>180</v>
      </c>
    </row>
    <row r="34" spans="1:14" ht="63.75" x14ac:dyDescent="0.25">
      <c r="A34" s="52" t="s">
        <v>110</v>
      </c>
      <c r="B34" s="58">
        <v>40</v>
      </c>
      <c r="C34" s="59">
        <v>223505</v>
      </c>
      <c r="D34" s="60" t="s">
        <v>51</v>
      </c>
      <c r="E34" s="60" t="s">
        <v>181</v>
      </c>
      <c r="F34" s="60" t="s">
        <v>16</v>
      </c>
      <c r="G34" s="60" t="s">
        <v>17</v>
      </c>
      <c r="H34" s="92" t="s">
        <v>112</v>
      </c>
      <c r="I34" s="122">
        <v>6022.8171519999996</v>
      </c>
      <c r="J34" s="88">
        <v>4183.75</v>
      </c>
      <c r="K34" s="71">
        <v>37</v>
      </c>
      <c r="L34" s="70">
        <f t="shared" si="0"/>
        <v>113.07432432432432</v>
      </c>
      <c r="M34" s="70">
        <f t="shared" si="1"/>
        <v>4522.9729729729734</v>
      </c>
      <c r="N34" s="103" t="s">
        <v>182</v>
      </c>
    </row>
    <row r="35" spans="1:14" ht="63.75" x14ac:dyDescent="0.25">
      <c r="A35" s="52" t="s">
        <v>113</v>
      </c>
      <c r="B35" s="58">
        <v>40</v>
      </c>
      <c r="C35" s="59">
        <v>223505</v>
      </c>
      <c r="D35" s="60" t="s">
        <v>51</v>
      </c>
      <c r="E35" s="60" t="s">
        <v>183</v>
      </c>
      <c r="F35" s="60" t="s">
        <v>36</v>
      </c>
      <c r="G35" s="60" t="s">
        <v>37</v>
      </c>
      <c r="H35" s="92" t="s">
        <v>112</v>
      </c>
      <c r="I35" s="119">
        <v>6022.8171519999996</v>
      </c>
      <c r="J35" s="88">
        <f>(6797.34+5611.93)/2</f>
        <v>6204.6350000000002</v>
      </c>
      <c r="K35" s="71">
        <v>37</v>
      </c>
      <c r="L35" s="70">
        <f t="shared" si="0"/>
        <v>167.69283783783786</v>
      </c>
      <c r="M35" s="70">
        <f t="shared" si="1"/>
        <v>6707.713513513514</v>
      </c>
      <c r="N35" s="103" t="s">
        <v>184</v>
      </c>
    </row>
    <row r="36" spans="1:14" ht="115.5" thickBot="1" x14ac:dyDescent="0.3">
      <c r="A36" s="53" t="s">
        <v>115</v>
      </c>
      <c r="B36" s="61">
        <v>20</v>
      </c>
      <c r="C36" s="62">
        <v>225125</v>
      </c>
      <c r="D36" s="63" t="s">
        <v>51</v>
      </c>
      <c r="E36" s="63" t="s">
        <v>185</v>
      </c>
      <c r="F36" s="63" t="s">
        <v>36</v>
      </c>
      <c r="G36" s="63" t="s">
        <v>37</v>
      </c>
      <c r="H36" s="94" t="s">
        <v>107</v>
      </c>
      <c r="I36" s="120">
        <v>7509.5</v>
      </c>
      <c r="J36" s="89">
        <f>(15222.45+12567.76)/2</f>
        <v>13895.105</v>
      </c>
      <c r="K36" s="76">
        <v>27</v>
      </c>
      <c r="L36" s="75">
        <f t="shared" si="0"/>
        <v>514.63351851851849</v>
      </c>
      <c r="M36" s="75">
        <f t="shared" si="1"/>
        <v>10292.67037037037</v>
      </c>
      <c r="N36" s="104" t="s">
        <v>186</v>
      </c>
    </row>
  </sheetData>
  <autoFilter ref="A1:N36" xr:uid="{00000000-0009-0000-0000-000001000000}"/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6" zoomScaleNormal="100" workbookViewId="0">
      <selection activeCell="C21" sqref="C21:C36"/>
    </sheetView>
  </sheetViews>
  <sheetFormatPr defaultRowHeight="15" x14ac:dyDescent="0.25"/>
  <cols>
    <col min="1" max="1" width="17.7109375" style="5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28515625" style="6" customWidth="1"/>
    <col min="6" max="6" width="9.85546875" style="6" bestFit="1" customWidth="1"/>
    <col min="7" max="7" width="7.85546875" style="6" customWidth="1"/>
    <col min="8" max="8" width="66.7109375" style="6" customWidth="1"/>
    <col min="9" max="9" width="14.140625" style="123" customWidth="1"/>
    <col min="10" max="10" width="11.85546875" style="7" customWidth="1"/>
    <col min="11" max="11" width="11.85546875" style="8" customWidth="1"/>
    <col min="12" max="12" width="11.140625" style="7" customWidth="1"/>
    <col min="13" max="13" width="11.7109375" style="7" bestFit="1" customWidth="1"/>
    <col min="14" max="14" width="38" style="7" bestFit="1" customWidth="1"/>
  </cols>
  <sheetData>
    <row r="1" spans="1:14" ht="64.5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86" t="s">
        <v>9</v>
      </c>
      <c r="K1" s="65" t="s">
        <v>10</v>
      </c>
      <c r="L1" s="64" t="s">
        <v>11</v>
      </c>
      <c r="M1" s="64" t="s">
        <v>12</v>
      </c>
      <c r="N1" s="66" t="s">
        <v>187</v>
      </c>
    </row>
    <row r="2" spans="1:14" ht="63.75" x14ac:dyDescent="0.25">
      <c r="A2" s="49" t="s">
        <v>14</v>
      </c>
      <c r="B2" s="55">
        <v>40</v>
      </c>
      <c r="C2" s="56">
        <v>411010</v>
      </c>
      <c r="D2" s="57" t="s">
        <v>15</v>
      </c>
      <c r="E2" s="57"/>
      <c r="F2" s="57" t="s">
        <v>16</v>
      </c>
      <c r="G2" s="57" t="s">
        <v>17</v>
      </c>
      <c r="H2" s="91" t="s">
        <v>18</v>
      </c>
      <c r="I2" s="117">
        <v>2721.4733710595206</v>
      </c>
      <c r="J2" s="87">
        <v>2582.33</v>
      </c>
      <c r="K2" s="68">
        <v>40</v>
      </c>
      <c r="L2" s="67">
        <f t="shared" ref="L2:L36" si="0">J2/K2</f>
        <v>64.558250000000001</v>
      </c>
      <c r="M2" s="67">
        <f t="shared" ref="M2:M36" si="1">L2*B2</f>
        <v>2582.33</v>
      </c>
      <c r="N2" s="83" t="s">
        <v>188</v>
      </c>
    </row>
    <row r="3" spans="1:14" ht="63.75" x14ac:dyDescent="0.25">
      <c r="A3" s="50" t="s">
        <v>19</v>
      </c>
      <c r="B3" s="58">
        <v>40</v>
      </c>
      <c r="C3" s="59">
        <v>411010</v>
      </c>
      <c r="D3" s="60" t="s">
        <v>15</v>
      </c>
      <c r="E3" s="60"/>
      <c r="F3" s="60" t="s">
        <v>20</v>
      </c>
      <c r="G3" s="60" t="s">
        <v>21</v>
      </c>
      <c r="H3" s="92" t="s">
        <v>22</v>
      </c>
      <c r="I3" s="118">
        <v>3525.8529983600006</v>
      </c>
      <c r="J3" s="88">
        <v>2969.68</v>
      </c>
      <c r="K3" s="71">
        <v>40</v>
      </c>
      <c r="L3" s="78">
        <f t="shared" si="0"/>
        <v>74.24199999999999</v>
      </c>
      <c r="M3" s="70">
        <f t="shared" si="1"/>
        <v>2969.6799999999994</v>
      </c>
      <c r="N3" s="84" t="s">
        <v>189</v>
      </c>
    </row>
    <row r="4" spans="1:14" ht="76.5" x14ac:dyDescent="0.25">
      <c r="A4" s="51" t="s">
        <v>23</v>
      </c>
      <c r="B4" s="58">
        <v>40</v>
      </c>
      <c r="C4" s="59">
        <v>252305</v>
      </c>
      <c r="D4" s="60" t="s">
        <v>15</v>
      </c>
      <c r="E4" s="60"/>
      <c r="F4" s="60" t="s">
        <v>16</v>
      </c>
      <c r="G4" s="60" t="s">
        <v>17</v>
      </c>
      <c r="H4" s="92" t="s">
        <v>24</v>
      </c>
      <c r="I4" s="118">
        <v>4768.06052287488</v>
      </c>
      <c r="J4" s="88">
        <v>2444.6999999999998</v>
      </c>
      <c r="K4" s="71">
        <v>40</v>
      </c>
      <c r="L4" s="70">
        <f t="shared" si="0"/>
        <v>61.117499999999993</v>
      </c>
      <c r="M4" s="70">
        <f t="shared" si="1"/>
        <v>2444.6999999999998</v>
      </c>
      <c r="N4" s="100" t="s">
        <v>190</v>
      </c>
    </row>
    <row r="5" spans="1:14" ht="89.25" x14ac:dyDescent="0.25">
      <c r="A5" s="50" t="s">
        <v>25</v>
      </c>
      <c r="B5" s="58">
        <v>40</v>
      </c>
      <c r="C5" s="59">
        <v>252105</v>
      </c>
      <c r="D5" s="60" t="s">
        <v>26</v>
      </c>
      <c r="E5" s="60"/>
      <c r="F5" s="60" t="s">
        <v>27</v>
      </c>
      <c r="G5" s="60" t="s">
        <v>28</v>
      </c>
      <c r="H5" s="93" t="s">
        <v>29</v>
      </c>
      <c r="I5" s="121">
        <v>3525.86</v>
      </c>
      <c r="J5" s="101">
        <v>3589.42</v>
      </c>
      <c r="K5" s="71">
        <v>40</v>
      </c>
      <c r="L5" s="70">
        <f t="shared" si="0"/>
        <v>89.735500000000002</v>
      </c>
      <c r="M5" s="70">
        <f t="shared" si="1"/>
        <v>3589.42</v>
      </c>
      <c r="N5" s="100" t="s">
        <v>191</v>
      </c>
    </row>
    <row r="6" spans="1:14" ht="89.25" x14ac:dyDescent="0.25">
      <c r="A6" s="50" t="s">
        <v>30</v>
      </c>
      <c r="B6" s="58">
        <v>40</v>
      </c>
      <c r="C6" s="59">
        <v>252105</v>
      </c>
      <c r="D6" s="60" t="s">
        <v>26</v>
      </c>
      <c r="E6" s="60"/>
      <c r="F6" s="60" t="s">
        <v>16</v>
      </c>
      <c r="G6" s="60" t="s">
        <v>17</v>
      </c>
      <c r="H6" s="93" t="s">
        <v>29</v>
      </c>
      <c r="I6" s="118">
        <v>4768.06052287488</v>
      </c>
      <c r="J6" s="101">
        <v>4486.7700000000004</v>
      </c>
      <c r="K6" s="71">
        <v>40</v>
      </c>
      <c r="L6" s="70">
        <f t="shared" si="0"/>
        <v>112.16925000000001</v>
      </c>
      <c r="M6" s="70">
        <f t="shared" si="1"/>
        <v>4486.7700000000004</v>
      </c>
      <c r="N6" s="100" t="s">
        <v>190</v>
      </c>
    </row>
    <row r="7" spans="1:14" ht="127.5" x14ac:dyDescent="0.25">
      <c r="A7" s="52" t="s">
        <v>31</v>
      </c>
      <c r="B7" s="58">
        <v>40</v>
      </c>
      <c r="C7" s="59">
        <v>252105</v>
      </c>
      <c r="D7" s="60" t="s">
        <v>26</v>
      </c>
      <c r="E7" s="60" t="s">
        <v>32</v>
      </c>
      <c r="F7" s="60" t="s">
        <v>33</v>
      </c>
      <c r="G7" s="60" t="s">
        <v>21</v>
      </c>
      <c r="H7" s="93" t="s">
        <v>34</v>
      </c>
      <c r="I7" s="118">
        <v>5559.5559680000006</v>
      </c>
      <c r="J7" s="101">
        <v>5608.46</v>
      </c>
      <c r="K7" s="71">
        <v>40</v>
      </c>
      <c r="L7" s="70">
        <f t="shared" si="0"/>
        <v>140.2115</v>
      </c>
      <c r="M7" s="70">
        <f t="shared" si="1"/>
        <v>5608.46</v>
      </c>
      <c r="N7" s="100" t="s">
        <v>192</v>
      </c>
    </row>
    <row r="8" spans="1:14" ht="127.5" x14ac:dyDescent="0.25">
      <c r="A8" s="52" t="s">
        <v>35</v>
      </c>
      <c r="B8" s="58">
        <v>40</v>
      </c>
      <c r="C8" s="59">
        <v>252105</v>
      </c>
      <c r="D8" s="60" t="s">
        <v>26</v>
      </c>
      <c r="E8" s="60" t="s">
        <v>32</v>
      </c>
      <c r="F8" s="60" t="s">
        <v>36</v>
      </c>
      <c r="G8" s="60" t="s">
        <v>37</v>
      </c>
      <c r="H8" s="93" t="s">
        <v>34</v>
      </c>
      <c r="I8" s="118">
        <v>5837.4998235769608</v>
      </c>
      <c r="J8" s="101">
        <v>7010.58</v>
      </c>
      <c r="K8" s="71">
        <v>40</v>
      </c>
      <c r="L8" s="70">
        <f t="shared" si="0"/>
        <v>175.2645</v>
      </c>
      <c r="M8" s="70">
        <f t="shared" si="1"/>
        <v>7010.58</v>
      </c>
      <c r="N8" s="100" t="s">
        <v>193</v>
      </c>
    </row>
    <row r="9" spans="1:14" ht="63.75" x14ac:dyDescent="0.25">
      <c r="A9" s="52" t="s">
        <v>38</v>
      </c>
      <c r="B9" s="58">
        <v>40</v>
      </c>
      <c r="C9" s="59">
        <v>374405</v>
      </c>
      <c r="D9" s="60" t="s">
        <v>15</v>
      </c>
      <c r="E9" s="60" t="s">
        <v>39</v>
      </c>
      <c r="F9" s="60" t="s">
        <v>16</v>
      </c>
      <c r="G9" s="60" t="s">
        <v>17</v>
      </c>
      <c r="H9" s="92" t="s">
        <v>40</v>
      </c>
      <c r="I9" s="119">
        <v>3525.8529983600006</v>
      </c>
      <c r="J9" s="101">
        <v>2882.23</v>
      </c>
      <c r="K9" s="71">
        <v>40</v>
      </c>
      <c r="L9" s="70">
        <f t="shared" si="0"/>
        <v>72.055750000000003</v>
      </c>
      <c r="M9" s="70">
        <f t="shared" si="1"/>
        <v>2882.23</v>
      </c>
      <c r="N9" s="100" t="s">
        <v>194</v>
      </c>
    </row>
    <row r="10" spans="1:14" ht="76.5" x14ac:dyDescent="0.25">
      <c r="A10" s="52" t="s">
        <v>41</v>
      </c>
      <c r="B10" s="58">
        <v>40</v>
      </c>
      <c r="C10" s="59">
        <v>373205</v>
      </c>
      <c r="D10" s="60" t="s">
        <v>15</v>
      </c>
      <c r="E10" s="60" t="s">
        <v>39</v>
      </c>
      <c r="F10" s="60" t="s">
        <v>16</v>
      </c>
      <c r="G10" s="60" t="s">
        <v>17</v>
      </c>
      <c r="H10" s="92" t="s">
        <v>42</v>
      </c>
      <c r="I10" s="119">
        <v>3525.8529983600006</v>
      </c>
      <c r="J10" s="101">
        <v>2907.43</v>
      </c>
      <c r="K10" s="71">
        <v>40</v>
      </c>
      <c r="L10" s="70">
        <f t="shared" si="0"/>
        <v>72.685749999999999</v>
      </c>
      <c r="M10" s="70">
        <f t="shared" si="1"/>
        <v>2907.43</v>
      </c>
      <c r="N10" s="84" t="s">
        <v>195</v>
      </c>
    </row>
    <row r="11" spans="1:14" ht="89.25" x14ac:dyDescent="0.25">
      <c r="A11" s="52" t="s">
        <v>43</v>
      </c>
      <c r="B11" s="58">
        <v>40</v>
      </c>
      <c r="C11" s="59">
        <v>313215</v>
      </c>
      <c r="D11" s="60" t="s">
        <v>15</v>
      </c>
      <c r="E11" s="60" t="s">
        <v>44</v>
      </c>
      <c r="F11" s="60" t="s">
        <v>16</v>
      </c>
      <c r="G11" s="60" t="s">
        <v>17</v>
      </c>
      <c r="H11" s="92" t="s">
        <v>45</v>
      </c>
      <c r="I11" s="119">
        <v>3525.8529983600006</v>
      </c>
      <c r="J11" s="88">
        <v>3144.48</v>
      </c>
      <c r="K11" s="71">
        <v>40</v>
      </c>
      <c r="L11" s="70">
        <f t="shared" si="0"/>
        <v>78.611999999999995</v>
      </c>
      <c r="M11" s="70">
        <f t="shared" si="1"/>
        <v>3144.4799999999996</v>
      </c>
      <c r="N11" s="84" t="s">
        <v>196</v>
      </c>
    </row>
    <row r="12" spans="1:14" ht="89.25" x14ac:dyDescent="0.25">
      <c r="A12" s="52" t="s">
        <v>47</v>
      </c>
      <c r="B12" s="58">
        <v>40</v>
      </c>
      <c r="C12" s="59">
        <v>351605</v>
      </c>
      <c r="D12" s="60" t="s">
        <v>15</v>
      </c>
      <c r="E12" s="60" t="s">
        <v>48</v>
      </c>
      <c r="F12" s="60" t="s">
        <v>16</v>
      </c>
      <c r="G12" s="60" t="s">
        <v>17</v>
      </c>
      <c r="H12" s="92" t="s">
        <v>49</v>
      </c>
      <c r="I12" s="119">
        <v>4278.2939400000005</v>
      </c>
      <c r="J12" s="88">
        <v>3862.86</v>
      </c>
      <c r="K12" s="71">
        <v>40</v>
      </c>
      <c r="L12" s="70">
        <f t="shared" si="0"/>
        <v>96.5715</v>
      </c>
      <c r="M12" s="70">
        <f t="shared" si="1"/>
        <v>3862.86</v>
      </c>
      <c r="N12" s="84" t="s">
        <v>196</v>
      </c>
    </row>
    <row r="13" spans="1:14" ht="89.25" x14ac:dyDescent="0.25">
      <c r="A13" s="52" t="s">
        <v>50</v>
      </c>
      <c r="B13" s="58">
        <v>40</v>
      </c>
      <c r="C13" s="59">
        <v>261205</v>
      </c>
      <c r="D13" s="60" t="s">
        <v>51</v>
      </c>
      <c r="E13" s="60" t="s">
        <v>52</v>
      </c>
      <c r="F13" s="60" t="s">
        <v>16</v>
      </c>
      <c r="G13" s="60" t="s">
        <v>17</v>
      </c>
      <c r="H13" s="92" t="s">
        <v>53</v>
      </c>
      <c r="I13" s="118">
        <v>4317.0823782979196</v>
      </c>
      <c r="J13" s="88">
        <v>3935.69</v>
      </c>
      <c r="K13" s="71">
        <v>40</v>
      </c>
      <c r="L13" s="70">
        <f t="shared" si="0"/>
        <v>98.392250000000004</v>
      </c>
      <c r="M13" s="70">
        <f t="shared" si="1"/>
        <v>3935.69</v>
      </c>
      <c r="N13" s="84" t="s">
        <v>197</v>
      </c>
    </row>
    <row r="14" spans="1:14" ht="76.5" x14ac:dyDescent="0.25">
      <c r="A14" s="52" t="s">
        <v>54</v>
      </c>
      <c r="B14" s="58">
        <v>40</v>
      </c>
      <c r="C14" s="59">
        <v>261125</v>
      </c>
      <c r="D14" s="60" t="s">
        <v>51</v>
      </c>
      <c r="E14" s="60" t="s">
        <v>55</v>
      </c>
      <c r="F14" s="60" t="s">
        <v>20</v>
      </c>
      <c r="G14" s="60" t="s">
        <v>21</v>
      </c>
      <c r="H14" s="92" t="s">
        <v>56</v>
      </c>
      <c r="I14" s="118">
        <v>5450.1268685001596</v>
      </c>
      <c r="J14" s="88">
        <v>6279.78</v>
      </c>
      <c r="K14" s="71">
        <v>40</v>
      </c>
      <c r="L14" s="70">
        <f t="shared" si="0"/>
        <v>156.99449999999999</v>
      </c>
      <c r="M14" s="70">
        <f t="shared" si="1"/>
        <v>6279.78</v>
      </c>
      <c r="N14" s="100" t="s">
        <v>198</v>
      </c>
    </row>
    <row r="15" spans="1:14" ht="102" x14ac:dyDescent="0.25">
      <c r="A15" s="52" t="s">
        <v>57</v>
      </c>
      <c r="B15" s="58">
        <v>40</v>
      </c>
      <c r="C15" s="59">
        <v>239410</v>
      </c>
      <c r="D15" s="60" t="s">
        <v>51</v>
      </c>
      <c r="E15" s="60" t="s">
        <v>55</v>
      </c>
      <c r="F15" s="60" t="s">
        <v>20</v>
      </c>
      <c r="G15" s="60" t="s">
        <v>21</v>
      </c>
      <c r="H15" s="92" t="s">
        <v>58</v>
      </c>
      <c r="I15" s="118">
        <v>5450.13</v>
      </c>
      <c r="J15" s="88">
        <v>5013.6099999999997</v>
      </c>
      <c r="K15" s="71">
        <v>40</v>
      </c>
      <c r="L15" s="70">
        <f t="shared" si="0"/>
        <v>125.34025</v>
      </c>
      <c r="M15" s="70">
        <f t="shared" si="1"/>
        <v>5013.6099999999997</v>
      </c>
      <c r="N15" s="100" t="s">
        <v>199</v>
      </c>
    </row>
    <row r="16" spans="1:14" ht="102" x14ac:dyDescent="0.25">
      <c r="A16" s="52" t="s">
        <v>59</v>
      </c>
      <c r="B16" s="58">
        <v>40</v>
      </c>
      <c r="C16" s="59">
        <v>261805</v>
      </c>
      <c r="D16" s="60" t="s">
        <v>60</v>
      </c>
      <c r="E16" s="60" t="s">
        <v>61</v>
      </c>
      <c r="F16" s="60" t="s">
        <v>20</v>
      </c>
      <c r="G16" s="60" t="s">
        <v>21</v>
      </c>
      <c r="H16" s="92" t="s">
        <v>62</v>
      </c>
      <c r="I16" s="119">
        <v>6207.1564731791996</v>
      </c>
      <c r="J16" s="101">
        <v>6447.51</v>
      </c>
      <c r="K16" s="71">
        <v>40</v>
      </c>
      <c r="L16" s="70">
        <f t="shared" si="0"/>
        <v>161.18774999999999</v>
      </c>
      <c r="M16" s="70">
        <f t="shared" si="1"/>
        <v>6447.51</v>
      </c>
      <c r="N16" s="100" t="s">
        <v>199</v>
      </c>
    </row>
    <row r="17" spans="1:14" ht="38.25" x14ac:dyDescent="0.25">
      <c r="A17" s="52" t="s">
        <v>63</v>
      </c>
      <c r="B17" s="58">
        <v>40</v>
      </c>
      <c r="C17" s="59">
        <v>262410</v>
      </c>
      <c r="D17" s="60" t="s">
        <v>26</v>
      </c>
      <c r="E17" s="60"/>
      <c r="F17" s="60" t="s">
        <v>20</v>
      </c>
      <c r="G17" s="60" t="s">
        <v>21</v>
      </c>
      <c r="H17" s="92" t="s">
        <v>64</v>
      </c>
      <c r="I17" s="119">
        <v>7509.4989830291206</v>
      </c>
      <c r="J17" s="88">
        <v>5050.37</v>
      </c>
      <c r="K17" s="71">
        <v>40</v>
      </c>
      <c r="L17" s="70">
        <f t="shared" si="0"/>
        <v>126.25924999999999</v>
      </c>
      <c r="M17" s="70">
        <f t="shared" si="1"/>
        <v>5050.37</v>
      </c>
      <c r="N17" s="100" t="s">
        <v>199</v>
      </c>
    </row>
    <row r="18" spans="1:14" ht="38.25" x14ac:dyDescent="0.25">
      <c r="A18" s="52" t="s">
        <v>65</v>
      </c>
      <c r="B18" s="58">
        <v>40</v>
      </c>
      <c r="C18" s="59">
        <v>262410</v>
      </c>
      <c r="D18" s="60" t="s">
        <v>26</v>
      </c>
      <c r="E18" s="60" t="s">
        <v>55</v>
      </c>
      <c r="F18" s="60" t="s">
        <v>36</v>
      </c>
      <c r="G18" s="60" t="s">
        <v>37</v>
      </c>
      <c r="H18" s="92" t="s">
        <v>64</v>
      </c>
      <c r="I18" s="119">
        <v>8208.7108768649596</v>
      </c>
      <c r="J18" s="88">
        <v>5807.93</v>
      </c>
      <c r="K18" s="71">
        <v>40</v>
      </c>
      <c r="L18" s="70">
        <f t="shared" si="0"/>
        <v>145.19825</v>
      </c>
      <c r="M18" s="70">
        <f t="shared" si="1"/>
        <v>5807.93</v>
      </c>
      <c r="N18" s="100" t="s">
        <v>200</v>
      </c>
    </row>
    <row r="19" spans="1:14" ht="94.5" customHeight="1" x14ac:dyDescent="0.25">
      <c r="A19" s="52" t="s">
        <v>66</v>
      </c>
      <c r="B19" s="58">
        <v>40</v>
      </c>
      <c r="C19" s="59">
        <v>261120</v>
      </c>
      <c r="D19" s="60" t="s">
        <v>26</v>
      </c>
      <c r="E19" s="60" t="s">
        <v>55</v>
      </c>
      <c r="F19" s="60" t="s">
        <v>36</v>
      </c>
      <c r="G19" s="60" t="s">
        <v>37</v>
      </c>
      <c r="H19" s="92" t="s">
        <v>67</v>
      </c>
      <c r="I19" s="119">
        <v>10442.711883887359</v>
      </c>
      <c r="J19" s="101">
        <v>5636.04</v>
      </c>
      <c r="K19" s="71">
        <v>40</v>
      </c>
      <c r="L19" s="70">
        <f t="shared" si="0"/>
        <v>140.90100000000001</v>
      </c>
      <c r="M19" s="70">
        <f t="shared" si="1"/>
        <v>5636.0400000000009</v>
      </c>
      <c r="N19" s="100" t="s">
        <v>201</v>
      </c>
    </row>
    <row r="20" spans="1:14" ht="114.75" x14ac:dyDescent="0.25">
      <c r="A20" s="52" t="s">
        <v>68</v>
      </c>
      <c r="B20" s="58">
        <v>40</v>
      </c>
      <c r="C20" s="59">
        <v>214915</v>
      </c>
      <c r="D20" s="60" t="s">
        <v>26</v>
      </c>
      <c r="E20" s="60" t="s">
        <v>69</v>
      </c>
      <c r="F20" s="60" t="s">
        <v>16</v>
      </c>
      <c r="G20" s="60" t="s">
        <v>17</v>
      </c>
      <c r="H20" s="92" t="s">
        <v>70</v>
      </c>
      <c r="I20" s="119">
        <v>10401.213333333333</v>
      </c>
      <c r="J20" s="88">
        <v>10757.98</v>
      </c>
      <c r="K20" s="71">
        <v>40</v>
      </c>
      <c r="L20" s="70">
        <f t="shared" si="0"/>
        <v>268.9495</v>
      </c>
      <c r="M20" s="70">
        <f t="shared" si="1"/>
        <v>10757.98</v>
      </c>
      <c r="N20" s="84" t="s">
        <v>196</v>
      </c>
    </row>
    <row r="21" spans="1:14" ht="114.75" x14ac:dyDescent="0.25">
      <c r="A21" s="52" t="s">
        <v>71</v>
      </c>
      <c r="B21" s="58">
        <v>40</v>
      </c>
      <c r="C21" s="59">
        <v>818110</v>
      </c>
      <c r="D21" s="60" t="s">
        <v>15</v>
      </c>
      <c r="E21" s="60" t="s">
        <v>72</v>
      </c>
      <c r="F21" s="60" t="s">
        <v>20</v>
      </c>
      <c r="G21" s="60" t="s">
        <v>21</v>
      </c>
      <c r="H21" s="92" t="s">
        <v>73</v>
      </c>
      <c r="I21" s="118">
        <v>2340.6941919999999</v>
      </c>
      <c r="J21" s="88">
        <v>3138.54</v>
      </c>
      <c r="K21" s="71">
        <v>40</v>
      </c>
      <c r="L21" s="70">
        <f t="shared" si="0"/>
        <v>78.463499999999996</v>
      </c>
      <c r="M21" s="70">
        <f t="shared" si="1"/>
        <v>3138.54</v>
      </c>
      <c r="N21" s="100" t="s">
        <v>199</v>
      </c>
    </row>
    <row r="22" spans="1:14" ht="114.75" x14ac:dyDescent="0.25">
      <c r="A22" s="52" t="s">
        <v>74</v>
      </c>
      <c r="B22" s="58">
        <v>40</v>
      </c>
      <c r="C22" s="59">
        <v>311105</v>
      </c>
      <c r="D22" s="60" t="s">
        <v>15</v>
      </c>
      <c r="E22" s="60" t="s">
        <v>75</v>
      </c>
      <c r="F22" s="60" t="s">
        <v>20</v>
      </c>
      <c r="G22" s="60" t="s">
        <v>21</v>
      </c>
      <c r="H22" s="92" t="s">
        <v>76</v>
      </c>
      <c r="I22" s="118">
        <v>3604.8115582617602</v>
      </c>
      <c r="J22" s="88">
        <v>3609.32</v>
      </c>
      <c r="K22" s="71">
        <v>40</v>
      </c>
      <c r="L22" s="70">
        <f t="shared" si="0"/>
        <v>90.233000000000004</v>
      </c>
      <c r="M22" s="70">
        <f t="shared" si="1"/>
        <v>3609.32</v>
      </c>
      <c r="N22" s="100" t="s">
        <v>199</v>
      </c>
    </row>
    <row r="23" spans="1:14" ht="114.75" x14ac:dyDescent="0.25">
      <c r="A23" s="52" t="s">
        <v>77</v>
      </c>
      <c r="B23" s="58">
        <v>20</v>
      </c>
      <c r="C23" s="59">
        <v>324130</v>
      </c>
      <c r="D23" s="60" t="s">
        <v>15</v>
      </c>
      <c r="E23" s="60" t="s">
        <v>78</v>
      </c>
      <c r="F23" s="60" t="s">
        <v>27</v>
      </c>
      <c r="G23" s="60" t="s">
        <v>28</v>
      </c>
      <c r="H23" s="92" t="s">
        <v>79</v>
      </c>
      <c r="I23" s="119">
        <v>1830.6685714285716</v>
      </c>
      <c r="J23" s="88">
        <v>2367.9299999999998</v>
      </c>
      <c r="K23" s="71">
        <v>40</v>
      </c>
      <c r="L23" s="70">
        <f t="shared" si="0"/>
        <v>59.198249999999994</v>
      </c>
      <c r="M23" s="70">
        <f t="shared" si="1"/>
        <v>1183.9649999999999</v>
      </c>
      <c r="N23" s="100" t="s">
        <v>202</v>
      </c>
    </row>
    <row r="24" spans="1:14" ht="51" x14ac:dyDescent="0.25">
      <c r="A24" s="52" t="s">
        <v>81</v>
      </c>
      <c r="B24" s="58">
        <v>40</v>
      </c>
      <c r="C24" s="59">
        <v>322205</v>
      </c>
      <c r="D24" s="60" t="s">
        <v>82</v>
      </c>
      <c r="E24" s="60" t="s">
        <v>83</v>
      </c>
      <c r="F24" s="60" t="s">
        <v>27</v>
      </c>
      <c r="G24" s="60" t="s">
        <v>28</v>
      </c>
      <c r="H24" s="92" t="s">
        <v>84</v>
      </c>
      <c r="I24" s="118">
        <v>3604.8115582617602</v>
      </c>
      <c r="J24" s="88">
        <v>2367.9299999999998</v>
      </c>
      <c r="K24" s="71">
        <v>40</v>
      </c>
      <c r="L24" s="70">
        <f t="shared" si="0"/>
        <v>59.198249999999994</v>
      </c>
      <c r="M24" s="70">
        <f t="shared" si="1"/>
        <v>2367.9299999999998</v>
      </c>
      <c r="N24" s="100" t="s">
        <v>203</v>
      </c>
    </row>
    <row r="25" spans="1:14" ht="51" x14ac:dyDescent="0.25">
      <c r="A25" s="52" t="s">
        <v>85</v>
      </c>
      <c r="B25" s="58">
        <v>40</v>
      </c>
      <c r="C25" s="59">
        <v>322205</v>
      </c>
      <c r="D25" s="60" t="s">
        <v>86</v>
      </c>
      <c r="E25" s="60" t="s">
        <v>83</v>
      </c>
      <c r="F25" s="60" t="s">
        <v>20</v>
      </c>
      <c r="G25" s="60" t="s">
        <v>21</v>
      </c>
      <c r="H25" s="92" t="s">
        <v>84</v>
      </c>
      <c r="I25" s="118">
        <v>3604.8115582617602</v>
      </c>
      <c r="J25" s="101">
        <v>3601.33</v>
      </c>
      <c r="K25" s="71">
        <v>40</v>
      </c>
      <c r="L25" s="70">
        <f t="shared" si="0"/>
        <v>90.033249999999995</v>
      </c>
      <c r="M25" s="70">
        <f t="shared" si="1"/>
        <v>3601.33</v>
      </c>
      <c r="N25" s="100" t="s">
        <v>199</v>
      </c>
    </row>
    <row r="26" spans="1:14" ht="76.5" x14ac:dyDescent="0.25">
      <c r="A26" s="52" t="s">
        <v>88</v>
      </c>
      <c r="B26" s="58">
        <v>40</v>
      </c>
      <c r="C26" s="59">
        <v>325115</v>
      </c>
      <c r="D26" s="60" t="s">
        <v>86</v>
      </c>
      <c r="E26" s="60"/>
      <c r="F26" s="60" t="s">
        <v>20</v>
      </c>
      <c r="G26" s="60" t="s">
        <v>21</v>
      </c>
      <c r="H26" s="92" t="s">
        <v>89</v>
      </c>
      <c r="I26" s="118">
        <v>3604.8115582617602</v>
      </c>
      <c r="J26" s="88">
        <v>4657.99</v>
      </c>
      <c r="K26" s="71">
        <v>40</v>
      </c>
      <c r="L26" s="70">
        <f t="shared" si="0"/>
        <v>116.44974999999999</v>
      </c>
      <c r="M26" s="70">
        <f t="shared" si="1"/>
        <v>4657.99</v>
      </c>
      <c r="N26" s="100" t="s">
        <v>204</v>
      </c>
    </row>
    <row r="27" spans="1:14" ht="127.5" x14ac:dyDescent="0.25">
      <c r="A27" s="52" t="s">
        <v>90</v>
      </c>
      <c r="B27" s="58">
        <v>30</v>
      </c>
      <c r="C27" s="59">
        <v>223605</v>
      </c>
      <c r="D27" s="60" t="s">
        <v>51</v>
      </c>
      <c r="E27" s="60" t="s">
        <v>91</v>
      </c>
      <c r="F27" s="60" t="s">
        <v>20</v>
      </c>
      <c r="G27" s="60" t="s">
        <v>21</v>
      </c>
      <c r="H27" s="92" t="s">
        <v>92</v>
      </c>
      <c r="I27" s="118">
        <v>4317.0823782979196</v>
      </c>
      <c r="J27" s="88">
        <v>4724.33</v>
      </c>
      <c r="K27" s="71">
        <v>40</v>
      </c>
      <c r="L27" s="70">
        <f t="shared" si="0"/>
        <v>118.10825</v>
      </c>
      <c r="M27" s="70">
        <f t="shared" si="1"/>
        <v>3543.2474999999999</v>
      </c>
      <c r="N27" s="100" t="s">
        <v>199</v>
      </c>
    </row>
    <row r="28" spans="1:14" ht="102" x14ac:dyDescent="0.25">
      <c r="A28" s="52" t="s">
        <v>93</v>
      </c>
      <c r="B28" s="58">
        <v>40</v>
      </c>
      <c r="C28" s="59">
        <v>223710</v>
      </c>
      <c r="D28" s="60" t="s">
        <v>51</v>
      </c>
      <c r="E28" s="60" t="s">
        <v>94</v>
      </c>
      <c r="F28" s="60" t="s">
        <v>20</v>
      </c>
      <c r="G28" s="60" t="s">
        <v>21</v>
      </c>
      <c r="H28" s="92" t="s">
        <v>95</v>
      </c>
      <c r="I28" s="118">
        <v>4317.0823782979196</v>
      </c>
      <c r="J28" s="88">
        <v>4551.78</v>
      </c>
      <c r="K28" s="71">
        <v>40</v>
      </c>
      <c r="L28" s="70">
        <f t="shared" si="0"/>
        <v>113.7945</v>
      </c>
      <c r="M28" s="70">
        <f t="shared" si="1"/>
        <v>4551.78</v>
      </c>
      <c r="N28" s="100" t="s">
        <v>205</v>
      </c>
    </row>
    <row r="29" spans="1:14" ht="89.25" x14ac:dyDescent="0.25">
      <c r="A29" s="52" t="s">
        <v>96</v>
      </c>
      <c r="B29" s="58">
        <v>40</v>
      </c>
      <c r="C29" s="59">
        <v>223405</v>
      </c>
      <c r="D29" s="60" t="s">
        <v>51</v>
      </c>
      <c r="E29" s="60" t="s">
        <v>97</v>
      </c>
      <c r="F29" s="60" t="s">
        <v>20</v>
      </c>
      <c r="G29" s="60" t="s">
        <v>21</v>
      </c>
      <c r="H29" s="92" t="s">
        <v>98</v>
      </c>
      <c r="I29" s="118">
        <v>5450.1303359999993</v>
      </c>
      <c r="J29" s="70">
        <v>6995.39</v>
      </c>
      <c r="K29" s="71">
        <v>40</v>
      </c>
      <c r="L29" s="70">
        <f t="shared" si="0"/>
        <v>174.88475</v>
      </c>
      <c r="M29" s="70">
        <f t="shared" si="1"/>
        <v>6995.3899999999994</v>
      </c>
      <c r="N29" s="100" t="s">
        <v>199</v>
      </c>
    </row>
    <row r="30" spans="1:14" ht="76.5" x14ac:dyDescent="0.25">
      <c r="A30" s="52" t="s">
        <v>99</v>
      </c>
      <c r="B30" s="58">
        <v>40</v>
      </c>
      <c r="C30" s="59">
        <v>223405</v>
      </c>
      <c r="D30" s="60" t="s">
        <v>51</v>
      </c>
      <c r="E30" s="60" t="s">
        <v>100</v>
      </c>
      <c r="F30" s="60" t="s">
        <v>36</v>
      </c>
      <c r="G30" s="60" t="s">
        <v>37</v>
      </c>
      <c r="H30" s="92" t="s">
        <v>101</v>
      </c>
      <c r="I30" s="119">
        <v>6022.82</v>
      </c>
      <c r="J30" s="70">
        <v>8744.24</v>
      </c>
      <c r="K30" s="71">
        <v>40</v>
      </c>
      <c r="L30" s="70">
        <f t="shared" si="0"/>
        <v>218.60599999999999</v>
      </c>
      <c r="M30" s="70">
        <f t="shared" si="1"/>
        <v>8744.24</v>
      </c>
      <c r="N30" s="100" t="s">
        <v>200</v>
      </c>
    </row>
    <row r="31" spans="1:14" ht="51" x14ac:dyDescent="0.25">
      <c r="A31" s="52" t="s">
        <v>103</v>
      </c>
      <c r="B31" s="58">
        <v>40</v>
      </c>
      <c r="C31" s="59">
        <v>221105</v>
      </c>
      <c r="D31" s="60" t="s">
        <v>51</v>
      </c>
      <c r="E31" s="60" t="s">
        <v>104</v>
      </c>
      <c r="F31" s="60" t="s">
        <v>20</v>
      </c>
      <c r="G31" s="60" t="s">
        <v>21</v>
      </c>
      <c r="H31" s="92" t="s">
        <v>105</v>
      </c>
      <c r="I31" s="119">
        <v>5450.1303359999993</v>
      </c>
      <c r="J31" s="88"/>
      <c r="K31" s="71">
        <v>40</v>
      </c>
      <c r="L31" s="70">
        <f t="shared" si="0"/>
        <v>0</v>
      </c>
      <c r="M31" s="70">
        <f t="shared" si="1"/>
        <v>0</v>
      </c>
      <c r="N31" s="85"/>
    </row>
    <row r="32" spans="1:14" ht="51" x14ac:dyDescent="0.25">
      <c r="A32" s="52" t="s">
        <v>106</v>
      </c>
      <c r="B32" s="58">
        <v>40</v>
      </c>
      <c r="C32" s="59">
        <v>223810</v>
      </c>
      <c r="D32" s="60" t="s">
        <v>51</v>
      </c>
      <c r="E32" s="60" t="s">
        <v>104</v>
      </c>
      <c r="F32" s="60" t="s">
        <v>20</v>
      </c>
      <c r="G32" s="60" t="s">
        <v>21</v>
      </c>
      <c r="H32" s="92" t="s">
        <v>107</v>
      </c>
      <c r="I32" s="119">
        <v>5450.1268685001596</v>
      </c>
      <c r="J32" s="101">
        <v>5897.76</v>
      </c>
      <c r="K32" s="71">
        <v>40</v>
      </c>
      <c r="L32" s="70">
        <f t="shared" si="0"/>
        <v>147.44400000000002</v>
      </c>
      <c r="M32" s="70">
        <f t="shared" si="1"/>
        <v>5897.76</v>
      </c>
      <c r="N32" s="100" t="s">
        <v>199</v>
      </c>
    </row>
    <row r="33" spans="1:14" ht="72" customHeight="1" x14ac:dyDescent="0.25">
      <c r="A33" s="52" t="s">
        <v>108</v>
      </c>
      <c r="B33" s="58">
        <v>40</v>
      </c>
      <c r="C33" s="59">
        <v>213205</v>
      </c>
      <c r="D33" s="60" t="s">
        <v>51</v>
      </c>
      <c r="E33" s="60" t="s">
        <v>104</v>
      </c>
      <c r="F33" s="60" t="s">
        <v>20</v>
      </c>
      <c r="G33" s="60" t="s">
        <v>21</v>
      </c>
      <c r="H33" s="92" t="s">
        <v>109</v>
      </c>
      <c r="I33" s="119">
        <v>5450.1268685001596</v>
      </c>
      <c r="J33" s="101">
        <v>5586.68</v>
      </c>
      <c r="K33" s="71">
        <v>40</v>
      </c>
      <c r="L33" s="70">
        <f t="shared" si="0"/>
        <v>139.667</v>
      </c>
      <c r="M33" s="70">
        <f t="shared" si="1"/>
        <v>5586.68</v>
      </c>
      <c r="N33" s="100" t="s">
        <v>199</v>
      </c>
    </row>
    <row r="34" spans="1:14" ht="63.75" x14ac:dyDescent="0.25">
      <c r="A34" s="52" t="s">
        <v>110</v>
      </c>
      <c r="B34" s="58">
        <v>40</v>
      </c>
      <c r="C34" s="59">
        <v>223505</v>
      </c>
      <c r="D34" s="60" t="s">
        <v>51</v>
      </c>
      <c r="E34" s="60" t="s">
        <v>181</v>
      </c>
      <c r="F34" s="60" t="s">
        <v>16</v>
      </c>
      <c r="G34" s="60" t="s">
        <v>17</v>
      </c>
      <c r="H34" s="92" t="s">
        <v>112</v>
      </c>
      <c r="I34" s="122">
        <v>6022.8171519999996</v>
      </c>
      <c r="J34" s="88">
        <v>4995.6000000000004</v>
      </c>
      <c r="K34" s="71">
        <v>40</v>
      </c>
      <c r="L34" s="70">
        <f t="shared" si="0"/>
        <v>124.89000000000001</v>
      </c>
      <c r="M34" s="70">
        <f t="shared" si="1"/>
        <v>4995.6000000000004</v>
      </c>
      <c r="N34" s="100" t="s">
        <v>199</v>
      </c>
    </row>
    <row r="35" spans="1:14" ht="63.75" x14ac:dyDescent="0.25">
      <c r="A35" s="52" t="s">
        <v>113</v>
      </c>
      <c r="B35" s="58">
        <v>40</v>
      </c>
      <c r="C35" s="59">
        <v>223505</v>
      </c>
      <c r="D35" s="60" t="s">
        <v>51</v>
      </c>
      <c r="E35" s="60" t="s">
        <v>183</v>
      </c>
      <c r="F35" s="60" t="s">
        <v>36</v>
      </c>
      <c r="G35" s="60" t="s">
        <v>37</v>
      </c>
      <c r="H35" s="92" t="s">
        <v>112</v>
      </c>
      <c r="I35" s="119">
        <v>6022.8171519999996</v>
      </c>
      <c r="J35" s="88">
        <v>7805.63</v>
      </c>
      <c r="K35" s="71">
        <v>40</v>
      </c>
      <c r="L35" s="70">
        <f t="shared" si="0"/>
        <v>195.14075</v>
      </c>
      <c r="M35" s="70">
        <f t="shared" si="1"/>
        <v>7805.63</v>
      </c>
      <c r="N35" s="100" t="s">
        <v>200</v>
      </c>
    </row>
    <row r="36" spans="1:14" ht="115.5" thickBot="1" x14ac:dyDescent="0.3">
      <c r="A36" s="53" t="s">
        <v>115</v>
      </c>
      <c r="B36" s="61">
        <v>20</v>
      </c>
      <c r="C36" s="62">
        <v>225125</v>
      </c>
      <c r="D36" s="63" t="s">
        <v>51</v>
      </c>
      <c r="E36" s="63" t="s">
        <v>185</v>
      </c>
      <c r="F36" s="63" t="s">
        <v>36</v>
      </c>
      <c r="G36" s="63" t="s">
        <v>37</v>
      </c>
      <c r="H36" s="94" t="s">
        <v>107</v>
      </c>
      <c r="I36" s="120">
        <v>7509.5</v>
      </c>
      <c r="J36" s="89">
        <v>20767.080000000002</v>
      </c>
      <c r="K36" s="76">
        <v>40</v>
      </c>
      <c r="L36" s="75">
        <f t="shared" si="0"/>
        <v>519.17700000000002</v>
      </c>
      <c r="M36" s="75">
        <f t="shared" si="1"/>
        <v>10383.540000000001</v>
      </c>
      <c r="N36" s="100" t="s">
        <v>200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topLeftCell="A19" zoomScale="90" zoomScaleNormal="90" workbookViewId="0">
      <selection activeCell="C21" sqref="C21:C36"/>
    </sheetView>
  </sheetViews>
  <sheetFormatPr defaultRowHeight="15" x14ac:dyDescent="0.25"/>
  <cols>
    <col min="1" max="1" width="17.7109375" style="5" customWidth="1"/>
    <col min="2" max="2" width="8.5703125" style="6" bestFit="1" customWidth="1"/>
    <col min="3" max="3" width="8" style="6" bestFit="1" customWidth="1"/>
    <col min="4" max="5" width="16.42578125" style="6" customWidth="1"/>
    <col min="6" max="6" width="9.85546875" style="6" bestFit="1" customWidth="1"/>
    <col min="7" max="7" width="7.85546875" style="6" customWidth="1"/>
    <col min="8" max="8" width="65.42578125" style="6" customWidth="1"/>
    <col min="9" max="9" width="14.140625" style="123" customWidth="1"/>
    <col min="10" max="10" width="11.85546875" style="7" customWidth="1"/>
    <col min="11" max="11" width="11.85546875" style="8" customWidth="1"/>
    <col min="12" max="12" width="11.140625" style="23" customWidth="1"/>
    <col min="13" max="13" width="11.7109375" style="7" bestFit="1" customWidth="1"/>
    <col min="14" max="14" width="46.140625" style="105" customWidth="1"/>
    <col min="15" max="15" width="71.7109375" customWidth="1"/>
  </cols>
  <sheetData>
    <row r="1" spans="1:15" s="108" customFormat="1" ht="77.25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86" t="s">
        <v>9</v>
      </c>
      <c r="K1" s="65" t="s">
        <v>10</v>
      </c>
      <c r="L1" s="79" t="s">
        <v>11</v>
      </c>
      <c r="M1" s="64" t="s">
        <v>12</v>
      </c>
      <c r="N1" s="106" t="s">
        <v>206</v>
      </c>
      <c r="O1" s="107"/>
    </row>
    <row r="2" spans="1:15" ht="67.5" customHeight="1" x14ac:dyDescent="0.25">
      <c r="A2" s="49" t="s">
        <v>14</v>
      </c>
      <c r="B2" s="55">
        <v>40</v>
      </c>
      <c r="C2" s="56">
        <v>411010</v>
      </c>
      <c r="D2" s="57" t="s">
        <v>15</v>
      </c>
      <c r="E2" s="57"/>
      <c r="F2" s="57" t="s">
        <v>16</v>
      </c>
      <c r="G2" s="57" t="s">
        <v>17</v>
      </c>
      <c r="H2" s="91" t="s">
        <v>18</v>
      </c>
      <c r="I2" s="117">
        <v>2721.4733710595206</v>
      </c>
      <c r="J2" s="87">
        <v>2103.31</v>
      </c>
      <c r="K2" s="68">
        <v>40</v>
      </c>
      <c r="L2" s="80">
        <f t="shared" ref="L2:L36" si="0">J2/K2</f>
        <v>52.582749999999997</v>
      </c>
      <c r="M2" s="67">
        <f t="shared" ref="M2:M36" si="1">L2*B2</f>
        <v>2103.31</v>
      </c>
      <c r="N2" s="102" t="s">
        <v>207</v>
      </c>
    </row>
    <row r="3" spans="1:15" ht="66.75" customHeight="1" x14ac:dyDescent="0.25">
      <c r="A3" s="50" t="s">
        <v>19</v>
      </c>
      <c r="B3" s="58">
        <v>40</v>
      </c>
      <c r="C3" s="59">
        <v>411010</v>
      </c>
      <c r="D3" s="60" t="s">
        <v>15</v>
      </c>
      <c r="E3" s="60"/>
      <c r="F3" s="60" t="s">
        <v>20</v>
      </c>
      <c r="G3" s="60" t="s">
        <v>21</v>
      </c>
      <c r="H3" s="92" t="s">
        <v>22</v>
      </c>
      <c r="I3" s="118">
        <v>3525.8529983600006</v>
      </c>
      <c r="J3" s="88">
        <v>3678.03</v>
      </c>
      <c r="K3" s="71">
        <v>40</v>
      </c>
      <c r="L3" s="81">
        <f t="shared" si="0"/>
        <v>91.950749999999999</v>
      </c>
      <c r="M3" s="70">
        <f t="shared" si="1"/>
        <v>3678.0299999999997</v>
      </c>
      <c r="N3" s="103" t="s">
        <v>208</v>
      </c>
    </row>
    <row r="4" spans="1:15" ht="81" customHeight="1" x14ac:dyDescent="0.25">
      <c r="A4" s="51" t="s">
        <v>23</v>
      </c>
      <c r="B4" s="58">
        <v>40</v>
      </c>
      <c r="C4" s="59">
        <v>252305</v>
      </c>
      <c r="D4" s="60" t="s">
        <v>15</v>
      </c>
      <c r="E4" s="60"/>
      <c r="F4" s="60" t="s">
        <v>16</v>
      </c>
      <c r="G4" s="60" t="s">
        <v>17</v>
      </c>
      <c r="H4" s="92" t="s">
        <v>24</v>
      </c>
      <c r="I4" s="118">
        <v>4768.06052287488</v>
      </c>
      <c r="J4" s="88">
        <v>5250.65</v>
      </c>
      <c r="K4" s="71">
        <v>40</v>
      </c>
      <c r="L4" s="81">
        <f t="shared" si="0"/>
        <v>131.26624999999999</v>
      </c>
      <c r="M4" s="70">
        <f t="shared" si="1"/>
        <v>5250.65</v>
      </c>
      <c r="N4" s="103" t="s">
        <v>209</v>
      </c>
    </row>
    <row r="5" spans="1:15" ht="102" x14ac:dyDescent="0.25">
      <c r="A5" s="50" t="s">
        <v>25</v>
      </c>
      <c r="B5" s="58">
        <v>40</v>
      </c>
      <c r="C5" s="59">
        <v>252105</v>
      </c>
      <c r="D5" s="60" t="s">
        <v>26</v>
      </c>
      <c r="E5" s="60"/>
      <c r="F5" s="60" t="s">
        <v>27</v>
      </c>
      <c r="G5" s="60" t="s">
        <v>28</v>
      </c>
      <c r="H5" s="93" t="s">
        <v>29</v>
      </c>
      <c r="I5" s="121">
        <v>3525.86</v>
      </c>
      <c r="J5" s="88">
        <v>2120.86</v>
      </c>
      <c r="K5" s="71">
        <v>40</v>
      </c>
      <c r="L5" s="81">
        <f t="shared" si="0"/>
        <v>53.021500000000003</v>
      </c>
      <c r="M5" s="70">
        <f t="shared" si="1"/>
        <v>2120.86</v>
      </c>
      <c r="N5" s="103" t="s">
        <v>210</v>
      </c>
    </row>
    <row r="6" spans="1:15" ht="102" x14ac:dyDescent="0.25">
      <c r="A6" s="50" t="s">
        <v>30</v>
      </c>
      <c r="B6" s="58">
        <v>40</v>
      </c>
      <c r="C6" s="59">
        <v>252105</v>
      </c>
      <c r="D6" s="60" t="s">
        <v>26</v>
      </c>
      <c r="E6" s="60"/>
      <c r="F6" s="60" t="s">
        <v>16</v>
      </c>
      <c r="G6" s="60" t="s">
        <v>17</v>
      </c>
      <c r="H6" s="93" t="s">
        <v>29</v>
      </c>
      <c r="I6" s="118">
        <v>4768.06052287488</v>
      </c>
      <c r="J6" s="88">
        <v>5273.18</v>
      </c>
      <c r="K6" s="71">
        <v>40</v>
      </c>
      <c r="L6" s="81">
        <f t="shared" si="0"/>
        <v>131.8295</v>
      </c>
      <c r="M6" s="70">
        <f t="shared" si="1"/>
        <v>5273.18</v>
      </c>
      <c r="N6" s="103" t="s">
        <v>211</v>
      </c>
    </row>
    <row r="7" spans="1:15" ht="127.5" x14ac:dyDescent="0.25">
      <c r="A7" s="52" t="s">
        <v>31</v>
      </c>
      <c r="B7" s="58">
        <v>40</v>
      </c>
      <c r="C7" s="59">
        <v>252105</v>
      </c>
      <c r="D7" s="60" t="s">
        <v>26</v>
      </c>
      <c r="E7" s="60" t="s">
        <v>32</v>
      </c>
      <c r="F7" s="60" t="s">
        <v>33</v>
      </c>
      <c r="G7" s="60" t="s">
        <v>21</v>
      </c>
      <c r="H7" s="93" t="s">
        <v>34</v>
      </c>
      <c r="I7" s="118">
        <v>5559.5559680000006</v>
      </c>
      <c r="J7" s="88">
        <v>10558.97</v>
      </c>
      <c r="K7" s="71">
        <v>40</v>
      </c>
      <c r="L7" s="81">
        <f t="shared" si="0"/>
        <v>263.97424999999998</v>
      </c>
      <c r="M7" s="70">
        <f t="shared" si="1"/>
        <v>10558.97</v>
      </c>
      <c r="N7" s="103" t="s">
        <v>212</v>
      </c>
    </row>
    <row r="8" spans="1:15" ht="127.5" x14ac:dyDescent="0.25">
      <c r="A8" s="52" t="s">
        <v>35</v>
      </c>
      <c r="B8" s="58">
        <v>40</v>
      </c>
      <c r="C8" s="59">
        <v>252105</v>
      </c>
      <c r="D8" s="60" t="s">
        <v>26</v>
      </c>
      <c r="E8" s="60" t="s">
        <v>32</v>
      </c>
      <c r="F8" s="60" t="s">
        <v>36</v>
      </c>
      <c r="G8" s="60" t="s">
        <v>37</v>
      </c>
      <c r="H8" s="93" t="s">
        <v>34</v>
      </c>
      <c r="I8" s="118">
        <v>5837.4998235769608</v>
      </c>
      <c r="J8" s="88">
        <f>(12789.34+10558.97)/2</f>
        <v>11674.154999999999</v>
      </c>
      <c r="K8" s="71">
        <v>40</v>
      </c>
      <c r="L8" s="81">
        <f t="shared" si="0"/>
        <v>291.85387499999996</v>
      </c>
      <c r="M8" s="70">
        <f t="shared" si="1"/>
        <v>11674.154999999999</v>
      </c>
      <c r="N8" s="103" t="s">
        <v>213</v>
      </c>
    </row>
    <row r="9" spans="1:15" ht="63.75" x14ac:dyDescent="0.25">
      <c r="A9" s="52" t="s">
        <v>38</v>
      </c>
      <c r="B9" s="58">
        <v>40</v>
      </c>
      <c r="C9" s="59">
        <v>374405</v>
      </c>
      <c r="D9" s="60" t="s">
        <v>15</v>
      </c>
      <c r="E9" s="60" t="s">
        <v>39</v>
      </c>
      <c r="F9" s="60" t="s">
        <v>16</v>
      </c>
      <c r="G9" s="60" t="s">
        <v>17</v>
      </c>
      <c r="H9" s="92" t="s">
        <v>40</v>
      </c>
      <c r="I9" s="119">
        <v>3525.8529983600006</v>
      </c>
      <c r="J9" s="88">
        <v>3966.28</v>
      </c>
      <c r="K9" s="71">
        <v>40</v>
      </c>
      <c r="L9" s="81">
        <f t="shared" si="0"/>
        <v>99.157000000000011</v>
      </c>
      <c r="M9" s="70">
        <f t="shared" si="1"/>
        <v>3966.2800000000007</v>
      </c>
      <c r="N9" s="103" t="s">
        <v>214</v>
      </c>
    </row>
    <row r="10" spans="1:15" ht="76.5" x14ac:dyDescent="0.25">
      <c r="A10" s="52" t="s">
        <v>41</v>
      </c>
      <c r="B10" s="58">
        <v>40</v>
      </c>
      <c r="C10" s="59">
        <v>373205</v>
      </c>
      <c r="D10" s="60" t="s">
        <v>15</v>
      </c>
      <c r="E10" s="60" t="s">
        <v>39</v>
      </c>
      <c r="F10" s="60" t="s">
        <v>16</v>
      </c>
      <c r="G10" s="60" t="s">
        <v>17</v>
      </c>
      <c r="H10" s="92" t="s">
        <v>42</v>
      </c>
      <c r="I10" s="119">
        <v>3525.8529983600006</v>
      </c>
      <c r="J10" s="88">
        <v>3966.28</v>
      </c>
      <c r="K10" s="71">
        <v>40</v>
      </c>
      <c r="L10" s="81">
        <f t="shared" si="0"/>
        <v>99.157000000000011</v>
      </c>
      <c r="M10" s="70">
        <f t="shared" si="1"/>
        <v>3966.2800000000007</v>
      </c>
      <c r="N10" s="103" t="s">
        <v>215</v>
      </c>
    </row>
    <row r="11" spans="1:15" ht="89.25" x14ac:dyDescent="0.25">
      <c r="A11" s="52" t="s">
        <v>43</v>
      </c>
      <c r="B11" s="58">
        <v>40</v>
      </c>
      <c r="C11" s="59">
        <v>313215</v>
      </c>
      <c r="D11" s="60" t="s">
        <v>15</v>
      </c>
      <c r="E11" s="60" t="s">
        <v>44</v>
      </c>
      <c r="F11" s="60" t="s">
        <v>16</v>
      </c>
      <c r="G11" s="60" t="s">
        <v>17</v>
      </c>
      <c r="H11" s="92" t="s">
        <v>45</v>
      </c>
      <c r="I11" s="119">
        <v>3525.8529983600006</v>
      </c>
      <c r="J11" s="88">
        <v>2029.61</v>
      </c>
      <c r="K11" s="71">
        <v>40</v>
      </c>
      <c r="L11" s="81">
        <f t="shared" si="0"/>
        <v>50.740249999999996</v>
      </c>
      <c r="M11" s="70">
        <f t="shared" si="1"/>
        <v>2029.61</v>
      </c>
      <c r="N11" s="88" t="s">
        <v>216</v>
      </c>
    </row>
    <row r="12" spans="1:15" ht="89.25" x14ac:dyDescent="0.25">
      <c r="A12" s="52" t="s">
        <v>47</v>
      </c>
      <c r="B12" s="58">
        <v>40</v>
      </c>
      <c r="C12" s="59">
        <v>351605</v>
      </c>
      <c r="D12" s="60" t="s">
        <v>15</v>
      </c>
      <c r="E12" s="60" t="s">
        <v>48</v>
      </c>
      <c r="F12" s="60" t="s">
        <v>16</v>
      </c>
      <c r="G12" s="60" t="s">
        <v>17</v>
      </c>
      <c r="H12" s="92" t="s">
        <v>49</v>
      </c>
      <c r="I12" s="119">
        <v>4278.2939400000005</v>
      </c>
      <c r="J12" s="88">
        <v>3712.39</v>
      </c>
      <c r="K12" s="71">
        <v>40</v>
      </c>
      <c r="L12" s="81">
        <f t="shared" si="0"/>
        <v>92.809749999999994</v>
      </c>
      <c r="M12" s="70">
        <f t="shared" si="1"/>
        <v>3712.39</v>
      </c>
      <c r="N12" s="103" t="s">
        <v>217</v>
      </c>
    </row>
    <row r="13" spans="1:15" ht="89.25" x14ac:dyDescent="0.25">
      <c r="A13" s="52" t="s">
        <v>50</v>
      </c>
      <c r="B13" s="58">
        <v>40</v>
      </c>
      <c r="C13" s="59">
        <v>261205</v>
      </c>
      <c r="D13" s="60" t="s">
        <v>51</v>
      </c>
      <c r="E13" s="60" t="s">
        <v>52</v>
      </c>
      <c r="F13" s="60" t="s">
        <v>16</v>
      </c>
      <c r="G13" s="60" t="s">
        <v>17</v>
      </c>
      <c r="H13" s="92" t="s">
        <v>53</v>
      </c>
      <c r="I13" s="118">
        <v>4317.0823782979196</v>
      </c>
      <c r="J13" s="88">
        <v>4827.6400000000003</v>
      </c>
      <c r="K13" s="71">
        <v>40</v>
      </c>
      <c r="L13" s="81">
        <f t="shared" si="0"/>
        <v>120.691</v>
      </c>
      <c r="M13" s="70">
        <f t="shared" si="1"/>
        <v>4827.6400000000003</v>
      </c>
      <c r="N13" s="103" t="s">
        <v>218</v>
      </c>
    </row>
    <row r="14" spans="1:15" ht="76.5" x14ac:dyDescent="0.25">
      <c r="A14" s="52" t="s">
        <v>54</v>
      </c>
      <c r="B14" s="58">
        <v>40</v>
      </c>
      <c r="C14" s="59">
        <v>261125</v>
      </c>
      <c r="D14" s="60" t="s">
        <v>51</v>
      </c>
      <c r="E14" s="60" t="s">
        <v>55</v>
      </c>
      <c r="F14" s="60" t="s">
        <v>20</v>
      </c>
      <c r="G14" s="60" t="s">
        <v>21</v>
      </c>
      <c r="H14" s="92" t="s">
        <v>56</v>
      </c>
      <c r="I14" s="118">
        <v>5450.1268685001596</v>
      </c>
      <c r="J14" s="88">
        <v>10510.67</v>
      </c>
      <c r="K14" s="71">
        <v>40</v>
      </c>
      <c r="L14" s="81">
        <f t="shared" si="0"/>
        <v>262.76675</v>
      </c>
      <c r="M14" s="70">
        <f t="shared" si="1"/>
        <v>10510.67</v>
      </c>
      <c r="N14" s="103" t="s">
        <v>219</v>
      </c>
    </row>
    <row r="15" spans="1:15" ht="102" x14ac:dyDescent="0.25">
      <c r="A15" s="52" t="s">
        <v>57</v>
      </c>
      <c r="B15" s="58">
        <v>40</v>
      </c>
      <c r="C15" s="59">
        <v>239410</v>
      </c>
      <c r="D15" s="60" t="s">
        <v>51</v>
      </c>
      <c r="E15" s="60" t="s">
        <v>55</v>
      </c>
      <c r="F15" s="60" t="s">
        <v>20</v>
      </c>
      <c r="G15" s="60" t="s">
        <v>21</v>
      </c>
      <c r="H15" s="92" t="s">
        <v>58</v>
      </c>
      <c r="I15" s="118">
        <v>5450.13</v>
      </c>
      <c r="J15" s="88">
        <v>6209.28</v>
      </c>
      <c r="K15" s="71">
        <v>40</v>
      </c>
      <c r="L15" s="81">
        <f t="shared" si="0"/>
        <v>155.232</v>
      </c>
      <c r="M15" s="70">
        <f t="shared" si="1"/>
        <v>6209.28</v>
      </c>
      <c r="N15" s="103" t="s">
        <v>220</v>
      </c>
    </row>
    <row r="16" spans="1:15" ht="102" x14ac:dyDescent="0.25">
      <c r="A16" s="52" t="s">
        <v>59</v>
      </c>
      <c r="B16" s="58">
        <v>40</v>
      </c>
      <c r="C16" s="59">
        <v>261805</v>
      </c>
      <c r="D16" s="60" t="s">
        <v>60</v>
      </c>
      <c r="E16" s="60" t="s">
        <v>61</v>
      </c>
      <c r="F16" s="60" t="s">
        <v>20</v>
      </c>
      <c r="G16" s="60" t="s">
        <v>21</v>
      </c>
      <c r="H16" s="92" t="s">
        <v>62</v>
      </c>
      <c r="I16" s="119">
        <v>6207.1564731791996</v>
      </c>
      <c r="J16" s="88">
        <v>3776.89</v>
      </c>
      <c r="K16" s="71">
        <v>40</v>
      </c>
      <c r="L16" s="81">
        <f t="shared" si="0"/>
        <v>94.422249999999991</v>
      </c>
      <c r="M16" s="70">
        <f t="shared" si="1"/>
        <v>3776.8899999999994</v>
      </c>
      <c r="N16" s="103" t="s">
        <v>221</v>
      </c>
    </row>
    <row r="17" spans="1:15" ht="38.25" x14ac:dyDescent="0.25">
      <c r="A17" s="52" t="s">
        <v>63</v>
      </c>
      <c r="B17" s="58">
        <v>40</v>
      </c>
      <c r="C17" s="59">
        <v>262410</v>
      </c>
      <c r="D17" s="60" t="s">
        <v>26</v>
      </c>
      <c r="E17" s="60"/>
      <c r="F17" s="60" t="s">
        <v>20</v>
      </c>
      <c r="G17" s="60" t="s">
        <v>21</v>
      </c>
      <c r="H17" s="92" t="s">
        <v>64</v>
      </c>
      <c r="I17" s="119">
        <v>7509.4989830291206</v>
      </c>
      <c r="J17" s="88">
        <v>6974.89</v>
      </c>
      <c r="K17" s="71">
        <v>40</v>
      </c>
      <c r="L17" s="81">
        <f t="shared" si="0"/>
        <v>174.37225000000001</v>
      </c>
      <c r="M17" s="70">
        <f t="shared" si="1"/>
        <v>6974.89</v>
      </c>
      <c r="N17" s="103" t="s">
        <v>222</v>
      </c>
    </row>
    <row r="18" spans="1:15" ht="38.25" x14ac:dyDescent="0.25">
      <c r="A18" s="52" t="s">
        <v>65</v>
      </c>
      <c r="B18" s="58">
        <v>40</v>
      </c>
      <c r="C18" s="59">
        <v>262410</v>
      </c>
      <c r="D18" s="60" t="s">
        <v>26</v>
      </c>
      <c r="E18" s="60" t="s">
        <v>55</v>
      </c>
      <c r="F18" s="60" t="s">
        <v>36</v>
      </c>
      <c r="G18" s="60" t="s">
        <v>37</v>
      </c>
      <c r="H18" s="92" t="s">
        <v>64</v>
      </c>
      <c r="I18" s="119">
        <v>8208.7108768649596</v>
      </c>
      <c r="J18" s="88">
        <f>(8448.2+6974.89)/2</f>
        <v>7711.5450000000001</v>
      </c>
      <c r="K18" s="71">
        <v>40</v>
      </c>
      <c r="L18" s="81">
        <f t="shared" si="0"/>
        <v>192.788625</v>
      </c>
      <c r="M18" s="70">
        <f t="shared" si="1"/>
        <v>7711.5450000000001</v>
      </c>
      <c r="N18" s="103" t="s">
        <v>223</v>
      </c>
    </row>
    <row r="19" spans="1:15" ht="102" x14ac:dyDescent="0.25">
      <c r="A19" s="52" t="s">
        <v>66</v>
      </c>
      <c r="B19" s="58">
        <v>40</v>
      </c>
      <c r="C19" s="59">
        <v>261120</v>
      </c>
      <c r="D19" s="60" t="s">
        <v>26</v>
      </c>
      <c r="E19" s="60" t="s">
        <v>55</v>
      </c>
      <c r="F19" s="60" t="s">
        <v>36</v>
      </c>
      <c r="G19" s="60" t="s">
        <v>37</v>
      </c>
      <c r="H19" s="92" t="s">
        <v>67</v>
      </c>
      <c r="I19" s="119">
        <v>10442.711883887359</v>
      </c>
      <c r="J19" s="88">
        <f>(9369.15+7735.23)/2</f>
        <v>8552.1899999999987</v>
      </c>
      <c r="K19" s="71">
        <v>40</v>
      </c>
      <c r="L19" s="81">
        <f t="shared" si="0"/>
        <v>213.80474999999996</v>
      </c>
      <c r="M19" s="70">
        <f t="shared" si="1"/>
        <v>8552.1899999999987</v>
      </c>
      <c r="N19" s="103" t="s">
        <v>224</v>
      </c>
    </row>
    <row r="20" spans="1:15" ht="114.75" x14ac:dyDescent="0.25">
      <c r="A20" s="52" t="s">
        <v>68</v>
      </c>
      <c r="B20" s="58">
        <v>40</v>
      </c>
      <c r="C20" s="59">
        <v>214915</v>
      </c>
      <c r="D20" s="60" t="s">
        <v>26</v>
      </c>
      <c r="E20" s="60" t="s">
        <v>69</v>
      </c>
      <c r="F20" s="60" t="s">
        <v>16</v>
      </c>
      <c r="G20" s="60" t="s">
        <v>17</v>
      </c>
      <c r="H20" s="92" t="s">
        <v>70</v>
      </c>
      <c r="I20" s="119">
        <v>10401.213333333333</v>
      </c>
      <c r="J20" s="88">
        <v>8963.35</v>
      </c>
      <c r="K20" s="71">
        <v>40</v>
      </c>
      <c r="L20" s="81">
        <f t="shared" si="0"/>
        <v>224.08375000000001</v>
      </c>
      <c r="M20" s="70">
        <f t="shared" si="1"/>
        <v>8963.35</v>
      </c>
      <c r="N20" s="103" t="s">
        <v>225</v>
      </c>
    </row>
    <row r="21" spans="1:15" ht="114.75" x14ac:dyDescent="0.25">
      <c r="A21" s="52" t="s">
        <v>71</v>
      </c>
      <c r="B21" s="58">
        <v>40</v>
      </c>
      <c r="C21" s="59">
        <v>818110</v>
      </c>
      <c r="D21" s="60" t="s">
        <v>15</v>
      </c>
      <c r="E21" s="60" t="s">
        <v>72</v>
      </c>
      <c r="F21" s="60" t="s">
        <v>20</v>
      </c>
      <c r="G21" s="60" t="s">
        <v>21</v>
      </c>
      <c r="H21" s="92" t="s">
        <v>73</v>
      </c>
      <c r="I21" s="118">
        <v>2340.6941919999999</v>
      </c>
      <c r="J21" s="88">
        <v>2050.5500000000002</v>
      </c>
      <c r="K21" s="71">
        <v>40</v>
      </c>
      <c r="L21" s="81">
        <f t="shared" si="0"/>
        <v>51.263750000000002</v>
      </c>
      <c r="M21" s="70">
        <f t="shared" si="1"/>
        <v>2050.5500000000002</v>
      </c>
      <c r="N21" s="103" t="s">
        <v>226</v>
      </c>
      <c r="O21" s="25"/>
    </row>
    <row r="22" spans="1:15" ht="114.75" x14ac:dyDescent="0.25">
      <c r="A22" s="52" t="s">
        <v>74</v>
      </c>
      <c r="B22" s="58">
        <v>40</v>
      </c>
      <c r="C22" s="59">
        <v>311105</v>
      </c>
      <c r="D22" s="60" t="s">
        <v>15</v>
      </c>
      <c r="E22" s="60" t="s">
        <v>75</v>
      </c>
      <c r="F22" s="60" t="s">
        <v>20</v>
      </c>
      <c r="G22" s="60" t="s">
        <v>21</v>
      </c>
      <c r="H22" s="92" t="s">
        <v>76</v>
      </c>
      <c r="I22" s="118">
        <v>3604.8115582617602</v>
      </c>
      <c r="J22" s="88">
        <v>4274.16</v>
      </c>
      <c r="K22" s="71">
        <v>40</v>
      </c>
      <c r="L22" s="81">
        <f t="shared" si="0"/>
        <v>106.854</v>
      </c>
      <c r="M22" s="70">
        <f t="shared" si="1"/>
        <v>4274.16</v>
      </c>
      <c r="N22" s="103" t="s">
        <v>227</v>
      </c>
    </row>
    <row r="23" spans="1:15" ht="114.75" x14ac:dyDescent="0.25">
      <c r="A23" s="52" t="s">
        <v>77</v>
      </c>
      <c r="B23" s="58">
        <v>20</v>
      </c>
      <c r="C23" s="59">
        <v>324130</v>
      </c>
      <c r="D23" s="60" t="s">
        <v>15</v>
      </c>
      <c r="E23" s="60" t="s">
        <v>78</v>
      </c>
      <c r="F23" s="60" t="s">
        <v>27</v>
      </c>
      <c r="G23" s="60" t="s">
        <v>28</v>
      </c>
      <c r="H23" s="92" t="s">
        <v>79</v>
      </c>
      <c r="I23" s="119">
        <v>1830.6685714285716</v>
      </c>
      <c r="J23" s="88">
        <v>1475.7</v>
      </c>
      <c r="K23" s="71">
        <v>40</v>
      </c>
      <c r="L23" s="81">
        <f t="shared" si="0"/>
        <v>36.892499999999998</v>
      </c>
      <c r="M23" s="70">
        <f t="shared" si="1"/>
        <v>737.84999999999991</v>
      </c>
      <c r="N23" s="103" t="s">
        <v>228</v>
      </c>
    </row>
    <row r="24" spans="1:15" ht="51" x14ac:dyDescent="0.25">
      <c r="A24" s="52" t="s">
        <v>81</v>
      </c>
      <c r="B24" s="58">
        <v>40</v>
      </c>
      <c r="C24" s="59">
        <v>322205</v>
      </c>
      <c r="D24" s="60" t="s">
        <v>82</v>
      </c>
      <c r="E24" s="60" t="s">
        <v>83</v>
      </c>
      <c r="F24" s="60" t="s">
        <v>27</v>
      </c>
      <c r="G24" s="60" t="s">
        <v>28</v>
      </c>
      <c r="H24" s="92" t="s">
        <v>84</v>
      </c>
      <c r="I24" s="118">
        <v>3604.8115582617602</v>
      </c>
      <c r="J24" s="88">
        <v>1475.7</v>
      </c>
      <c r="K24" s="71">
        <v>40</v>
      </c>
      <c r="L24" s="81">
        <f t="shared" si="0"/>
        <v>36.892499999999998</v>
      </c>
      <c r="M24" s="70">
        <f t="shared" si="1"/>
        <v>1475.6999999999998</v>
      </c>
      <c r="N24" s="103" t="s">
        <v>229</v>
      </c>
    </row>
    <row r="25" spans="1:15" ht="51" x14ac:dyDescent="0.25">
      <c r="A25" s="52" t="s">
        <v>85</v>
      </c>
      <c r="B25" s="58">
        <v>40</v>
      </c>
      <c r="C25" s="59">
        <v>322205</v>
      </c>
      <c r="D25" s="60" t="s">
        <v>86</v>
      </c>
      <c r="E25" s="60" t="s">
        <v>83</v>
      </c>
      <c r="F25" s="60" t="s">
        <v>20</v>
      </c>
      <c r="G25" s="60" t="s">
        <v>21</v>
      </c>
      <c r="H25" s="92" t="s">
        <v>84</v>
      </c>
      <c r="I25" s="118">
        <v>3604.8115582617602</v>
      </c>
      <c r="J25" s="88">
        <v>2209.09</v>
      </c>
      <c r="K25" s="71">
        <v>40</v>
      </c>
      <c r="L25" s="81">
        <f t="shared" si="0"/>
        <v>55.227250000000005</v>
      </c>
      <c r="M25" s="70">
        <f t="shared" si="1"/>
        <v>2209.09</v>
      </c>
      <c r="N25" s="103" t="s">
        <v>230</v>
      </c>
    </row>
    <row r="26" spans="1:15" ht="76.5" x14ac:dyDescent="0.25">
      <c r="A26" s="52" t="s">
        <v>88</v>
      </c>
      <c r="B26" s="58">
        <v>40</v>
      </c>
      <c r="C26" s="59">
        <v>325115</v>
      </c>
      <c r="D26" s="60" t="s">
        <v>86</v>
      </c>
      <c r="E26" s="60"/>
      <c r="F26" s="60" t="s">
        <v>20</v>
      </c>
      <c r="G26" s="60" t="s">
        <v>21</v>
      </c>
      <c r="H26" s="92" t="s">
        <v>89</v>
      </c>
      <c r="I26" s="118">
        <v>3604.8115582617602</v>
      </c>
      <c r="J26" s="88">
        <v>2510.79</v>
      </c>
      <c r="K26" s="71">
        <v>40</v>
      </c>
      <c r="L26" s="81">
        <f t="shared" si="0"/>
        <v>62.769750000000002</v>
      </c>
      <c r="M26" s="70">
        <f t="shared" si="1"/>
        <v>2510.79</v>
      </c>
      <c r="N26" s="103" t="s">
        <v>231</v>
      </c>
    </row>
    <row r="27" spans="1:15" ht="127.5" x14ac:dyDescent="0.25">
      <c r="A27" s="52" t="s">
        <v>90</v>
      </c>
      <c r="B27" s="58">
        <v>30</v>
      </c>
      <c r="C27" s="59">
        <v>223605</v>
      </c>
      <c r="D27" s="60" t="s">
        <v>51</v>
      </c>
      <c r="E27" s="60" t="s">
        <v>91</v>
      </c>
      <c r="F27" s="60" t="s">
        <v>20</v>
      </c>
      <c r="G27" s="60" t="s">
        <v>21</v>
      </c>
      <c r="H27" s="92" t="s">
        <v>92</v>
      </c>
      <c r="I27" s="118">
        <v>4317.0823782979196</v>
      </c>
      <c r="J27" s="88">
        <v>5078.0200000000004</v>
      </c>
      <c r="K27" s="71">
        <v>40</v>
      </c>
      <c r="L27" s="81">
        <f t="shared" si="0"/>
        <v>126.95050000000001</v>
      </c>
      <c r="M27" s="70">
        <f t="shared" si="1"/>
        <v>3808.5150000000003</v>
      </c>
      <c r="N27" s="103" t="s">
        <v>232</v>
      </c>
    </row>
    <row r="28" spans="1:15" ht="114.75" x14ac:dyDescent="0.25">
      <c r="A28" s="52" t="s">
        <v>93</v>
      </c>
      <c r="B28" s="58">
        <v>40</v>
      </c>
      <c r="C28" s="59">
        <v>223710</v>
      </c>
      <c r="D28" s="60" t="s">
        <v>51</v>
      </c>
      <c r="E28" s="60" t="s">
        <v>94</v>
      </c>
      <c r="F28" s="60" t="s">
        <v>20</v>
      </c>
      <c r="G28" s="60" t="s">
        <v>21</v>
      </c>
      <c r="H28" s="92" t="s">
        <v>95</v>
      </c>
      <c r="I28" s="118">
        <v>4317.0823782979196</v>
      </c>
      <c r="J28" s="88">
        <v>4020.77</v>
      </c>
      <c r="K28" s="71">
        <v>40</v>
      </c>
      <c r="L28" s="81">
        <f t="shared" si="0"/>
        <v>100.51925</v>
      </c>
      <c r="M28" s="70">
        <f t="shared" si="1"/>
        <v>4020.77</v>
      </c>
      <c r="N28" s="103" t="s">
        <v>233</v>
      </c>
    </row>
    <row r="29" spans="1:15" ht="89.25" x14ac:dyDescent="0.25">
      <c r="A29" s="52" t="s">
        <v>96</v>
      </c>
      <c r="B29" s="58">
        <v>40</v>
      </c>
      <c r="C29" s="59">
        <v>223405</v>
      </c>
      <c r="D29" s="60" t="s">
        <v>51</v>
      </c>
      <c r="E29" s="60" t="s">
        <v>97</v>
      </c>
      <c r="F29" s="60" t="s">
        <v>20</v>
      </c>
      <c r="G29" s="60" t="s">
        <v>21</v>
      </c>
      <c r="H29" s="92" t="s">
        <v>98</v>
      </c>
      <c r="I29" s="118">
        <v>5450.1303359999993</v>
      </c>
      <c r="J29" s="88">
        <v>4234.1499999999996</v>
      </c>
      <c r="K29" s="71">
        <v>40</v>
      </c>
      <c r="L29" s="81">
        <f t="shared" si="0"/>
        <v>105.85374999999999</v>
      </c>
      <c r="M29" s="70">
        <f t="shared" si="1"/>
        <v>4234.1499999999996</v>
      </c>
      <c r="N29" s="103" t="s">
        <v>234</v>
      </c>
    </row>
    <row r="30" spans="1:15" ht="76.5" x14ac:dyDescent="0.25">
      <c r="A30" s="52" t="s">
        <v>99</v>
      </c>
      <c r="B30" s="58">
        <v>40</v>
      </c>
      <c r="C30" s="59">
        <v>223405</v>
      </c>
      <c r="D30" s="60" t="s">
        <v>51</v>
      </c>
      <c r="E30" s="60" t="s">
        <v>100</v>
      </c>
      <c r="F30" s="60" t="s">
        <v>36</v>
      </c>
      <c r="G30" s="60" t="s">
        <v>37</v>
      </c>
      <c r="H30" s="92" t="s">
        <v>101</v>
      </c>
      <c r="I30" s="119">
        <v>6022.82</v>
      </c>
      <c r="J30" s="88">
        <f>(5128.53+4234.15)/2</f>
        <v>4681.34</v>
      </c>
      <c r="K30" s="71">
        <v>40</v>
      </c>
      <c r="L30" s="81">
        <f t="shared" si="0"/>
        <v>117.0335</v>
      </c>
      <c r="M30" s="70">
        <f t="shared" si="1"/>
        <v>4681.34</v>
      </c>
      <c r="N30" s="103" t="s">
        <v>235</v>
      </c>
    </row>
    <row r="31" spans="1:15" ht="51" x14ac:dyDescent="0.25">
      <c r="A31" s="52" t="s">
        <v>103</v>
      </c>
      <c r="B31" s="58">
        <v>40</v>
      </c>
      <c r="C31" s="59">
        <v>221105</v>
      </c>
      <c r="D31" s="60" t="s">
        <v>51</v>
      </c>
      <c r="E31" s="60" t="s">
        <v>104</v>
      </c>
      <c r="F31" s="60" t="s">
        <v>20</v>
      </c>
      <c r="G31" s="60" t="s">
        <v>21</v>
      </c>
      <c r="H31" s="92" t="s">
        <v>105</v>
      </c>
      <c r="I31" s="119">
        <v>5450.1303359999993</v>
      </c>
      <c r="J31" s="88">
        <v>5110.46</v>
      </c>
      <c r="K31" s="71">
        <v>40</v>
      </c>
      <c r="L31" s="81">
        <f t="shared" si="0"/>
        <v>127.7615</v>
      </c>
      <c r="M31" s="70">
        <f t="shared" si="1"/>
        <v>5110.46</v>
      </c>
      <c r="N31" s="103" t="s">
        <v>236</v>
      </c>
    </row>
    <row r="32" spans="1:15" ht="51" x14ac:dyDescent="0.25">
      <c r="A32" s="52" t="s">
        <v>106</v>
      </c>
      <c r="B32" s="58">
        <v>40</v>
      </c>
      <c r="C32" s="59">
        <v>223810</v>
      </c>
      <c r="D32" s="60" t="s">
        <v>51</v>
      </c>
      <c r="E32" s="60" t="s">
        <v>104</v>
      </c>
      <c r="F32" s="60" t="s">
        <v>20</v>
      </c>
      <c r="G32" s="60" t="s">
        <v>21</v>
      </c>
      <c r="H32" s="92" t="s">
        <v>107</v>
      </c>
      <c r="I32" s="119">
        <v>5450.1268685001596</v>
      </c>
      <c r="J32" s="88">
        <v>3645.58</v>
      </c>
      <c r="K32" s="71">
        <v>40</v>
      </c>
      <c r="L32" s="81">
        <f t="shared" si="0"/>
        <v>91.139499999999998</v>
      </c>
      <c r="M32" s="70">
        <f t="shared" si="1"/>
        <v>3645.58</v>
      </c>
      <c r="N32" s="103" t="s">
        <v>237</v>
      </c>
    </row>
    <row r="33" spans="1:14" ht="76.5" customHeight="1" x14ac:dyDescent="0.25">
      <c r="A33" s="52" t="s">
        <v>108</v>
      </c>
      <c r="B33" s="58">
        <v>40</v>
      </c>
      <c r="C33" s="59">
        <v>213205</v>
      </c>
      <c r="D33" s="60" t="s">
        <v>51</v>
      </c>
      <c r="E33" s="60" t="s">
        <v>104</v>
      </c>
      <c r="F33" s="60" t="s">
        <v>20</v>
      </c>
      <c r="G33" s="60" t="s">
        <v>21</v>
      </c>
      <c r="H33" s="92" t="s">
        <v>109</v>
      </c>
      <c r="I33" s="119">
        <v>5450.1268685001596</v>
      </c>
      <c r="J33" s="88">
        <v>11508.63</v>
      </c>
      <c r="K33" s="71">
        <v>40</v>
      </c>
      <c r="L33" s="81">
        <f t="shared" si="0"/>
        <v>287.71574999999996</v>
      </c>
      <c r="M33" s="70">
        <f t="shared" si="1"/>
        <v>11508.629999999997</v>
      </c>
      <c r="N33" s="103" t="s">
        <v>238</v>
      </c>
    </row>
    <row r="34" spans="1:14" ht="63.75" x14ac:dyDescent="0.25">
      <c r="A34" s="52" t="s">
        <v>110</v>
      </c>
      <c r="B34" s="58">
        <v>40</v>
      </c>
      <c r="C34" s="59">
        <v>223505</v>
      </c>
      <c r="D34" s="60" t="s">
        <v>51</v>
      </c>
      <c r="E34" s="60" t="s">
        <v>111</v>
      </c>
      <c r="F34" s="60" t="s">
        <v>16</v>
      </c>
      <c r="G34" s="60" t="s">
        <v>17</v>
      </c>
      <c r="H34" s="92" t="s">
        <v>112</v>
      </c>
      <c r="I34" s="122">
        <v>6022.8171519999996</v>
      </c>
      <c r="J34" s="88">
        <v>3552.24</v>
      </c>
      <c r="K34" s="71">
        <v>40</v>
      </c>
      <c r="L34" s="81">
        <f t="shared" si="0"/>
        <v>88.805999999999997</v>
      </c>
      <c r="M34" s="70">
        <f t="shared" si="1"/>
        <v>3552.24</v>
      </c>
      <c r="N34" s="103" t="s">
        <v>239</v>
      </c>
    </row>
    <row r="35" spans="1:14" ht="63.75" x14ac:dyDescent="0.25">
      <c r="A35" s="52" t="s">
        <v>113</v>
      </c>
      <c r="B35" s="58">
        <v>40</v>
      </c>
      <c r="C35" s="59">
        <v>223505</v>
      </c>
      <c r="D35" s="60" t="s">
        <v>51</v>
      </c>
      <c r="E35" s="60" t="s">
        <v>114</v>
      </c>
      <c r="F35" s="60" t="s">
        <v>36</v>
      </c>
      <c r="G35" s="60" t="s">
        <v>37</v>
      </c>
      <c r="H35" s="92" t="s">
        <v>112</v>
      </c>
      <c r="I35" s="119">
        <v>6022.8171519999996</v>
      </c>
      <c r="J35" s="88">
        <f>(4865.79+5893.59)/2</f>
        <v>5379.6900000000005</v>
      </c>
      <c r="K35" s="71">
        <v>40</v>
      </c>
      <c r="L35" s="81">
        <f t="shared" si="0"/>
        <v>134.49225000000001</v>
      </c>
      <c r="M35" s="70">
        <f t="shared" si="1"/>
        <v>5379.6900000000005</v>
      </c>
      <c r="N35" s="103" t="s">
        <v>240</v>
      </c>
    </row>
    <row r="36" spans="1:14" ht="90" thickBot="1" x14ac:dyDescent="0.3">
      <c r="A36" s="53" t="s">
        <v>115</v>
      </c>
      <c r="B36" s="61">
        <v>20</v>
      </c>
      <c r="C36" s="62">
        <v>225125</v>
      </c>
      <c r="D36" s="63" t="s">
        <v>51</v>
      </c>
      <c r="E36" s="63" t="s">
        <v>116</v>
      </c>
      <c r="F36" s="63" t="s">
        <v>36</v>
      </c>
      <c r="G36" s="63" t="s">
        <v>37</v>
      </c>
      <c r="H36" s="94" t="s">
        <v>241</v>
      </c>
      <c r="I36" s="120">
        <v>7509.5</v>
      </c>
      <c r="J36" s="89">
        <f>(14008.72+11565.69)/2</f>
        <v>12787.205</v>
      </c>
      <c r="K36" s="76">
        <v>40</v>
      </c>
      <c r="L36" s="82">
        <f t="shared" si="0"/>
        <v>319.68012499999998</v>
      </c>
      <c r="M36" s="75">
        <f t="shared" si="1"/>
        <v>6393.6024999999991</v>
      </c>
      <c r="N36" s="104" t="s">
        <v>242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topLeftCell="A19" zoomScaleNormal="100" workbookViewId="0">
      <selection activeCell="C21" sqref="C21:C36"/>
    </sheetView>
  </sheetViews>
  <sheetFormatPr defaultRowHeight="15" x14ac:dyDescent="0.25"/>
  <cols>
    <col min="1" max="1" width="17.7109375" style="5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" style="6" customWidth="1"/>
    <col min="6" max="6" width="9.85546875" style="6" bestFit="1" customWidth="1"/>
    <col min="7" max="7" width="7.85546875" style="6" customWidth="1"/>
    <col min="8" max="8" width="76.42578125" style="6" customWidth="1"/>
    <col min="9" max="9" width="14.140625" style="123" customWidth="1"/>
    <col min="10" max="10" width="14.140625" style="7" customWidth="1"/>
    <col min="11" max="11" width="11.85546875" style="8" customWidth="1"/>
    <col min="12" max="12" width="11.140625" style="7" customWidth="1"/>
    <col min="13" max="13" width="13.42578125" style="7" customWidth="1"/>
    <col min="14" max="14" width="33.7109375" style="7" customWidth="1"/>
  </cols>
  <sheetData>
    <row r="1" spans="1:14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86" t="s">
        <v>9</v>
      </c>
      <c r="K1" s="65" t="s">
        <v>10</v>
      </c>
      <c r="L1" s="64" t="s">
        <v>11</v>
      </c>
      <c r="M1" s="64" t="s">
        <v>12</v>
      </c>
      <c r="N1" s="66" t="s">
        <v>13</v>
      </c>
    </row>
    <row r="2" spans="1:14" ht="77.25" thickBot="1" x14ac:dyDescent="0.3">
      <c r="A2" s="49" t="s">
        <v>14</v>
      </c>
      <c r="B2" s="55">
        <v>40</v>
      </c>
      <c r="C2" s="56">
        <v>411010</v>
      </c>
      <c r="D2" s="57" t="s">
        <v>15</v>
      </c>
      <c r="E2" s="57"/>
      <c r="F2" s="57" t="s">
        <v>16</v>
      </c>
      <c r="G2" s="57" t="s">
        <v>17</v>
      </c>
      <c r="H2" s="91" t="s">
        <v>18</v>
      </c>
      <c r="I2" s="117">
        <v>2721.4733710595206</v>
      </c>
      <c r="J2" s="87">
        <v>2000</v>
      </c>
      <c r="K2" s="68"/>
      <c r="L2" s="67"/>
      <c r="M2" s="67">
        <f>J2</f>
        <v>2000</v>
      </c>
      <c r="N2" s="69" t="s">
        <v>243</v>
      </c>
    </row>
    <row r="3" spans="1:14" ht="77.25" thickBot="1" x14ac:dyDescent="0.3">
      <c r="A3" s="50" t="s">
        <v>19</v>
      </c>
      <c r="B3" s="58">
        <v>40</v>
      </c>
      <c r="C3" s="59">
        <v>411010</v>
      </c>
      <c r="D3" s="60" t="s">
        <v>15</v>
      </c>
      <c r="E3" s="60"/>
      <c r="F3" s="60" t="s">
        <v>20</v>
      </c>
      <c r="G3" s="60" t="s">
        <v>21</v>
      </c>
      <c r="H3" s="92" t="s">
        <v>22</v>
      </c>
      <c r="I3" s="118">
        <v>3525.8529983600006</v>
      </c>
      <c r="J3" s="88">
        <v>2500</v>
      </c>
      <c r="K3" s="71"/>
      <c r="L3" s="78"/>
      <c r="M3" s="67">
        <f t="shared" ref="M3:M36" si="0">J3</f>
        <v>2500</v>
      </c>
      <c r="N3" s="69" t="s">
        <v>243</v>
      </c>
    </row>
    <row r="4" spans="1:14" ht="77.25" thickBot="1" x14ac:dyDescent="0.3">
      <c r="A4" s="51" t="s">
        <v>23</v>
      </c>
      <c r="B4" s="58">
        <v>40</v>
      </c>
      <c r="C4" s="59">
        <v>252305</v>
      </c>
      <c r="D4" s="60" t="s">
        <v>15</v>
      </c>
      <c r="E4" s="60"/>
      <c r="F4" s="60" t="s">
        <v>16</v>
      </c>
      <c r="G4" s="60" t="s">
        <v>17</v>
      </c>
      <c r="H4" s="92" t="s">
        <v>24</v>
      </c>
      <c r="I4" s="118">
        <v>4768.06052287488</v>
      </c>
      <c r="J4" s="88">
        <v>5000</v>
      </c>
      <c r="K4" s="71"/>
      <c r="L4" s="70"/>
      <c r="M4" s="67">
        <f t="shared" si="0"/>
        <v>5000</v>
      </c>
      <c r="N4" s="69" t="s">
        <v>244</v>
      </c>
    </row>
    <row r="5" spans="1:14" ht="90" thickBot="1" x14ac:dyDescent="0.3">
      <c r="A5" s="50" t="s">
        <v>25</v>
      </c>
      <c r="B5" s="58">
        <v>40</v>
      </c>
      <c r="C5" s="59">
        <v>252105</v>
      </c>
      <c r="D5" s="60" t="s">
        <v>26</v>
      </c>
      <c r="E5" s="60"/>
      <c r="F5" s="60" t="s">
        <v>27</v>
      </c>
      <c r="G5" s="60" t="s">
        <v>28</v>
      </c>
      <c r="H5" s="93" t="s">
        <v>29</v>
      </c>
      <c r="I5" s="121">
        <v>3525.86</v>
      </c>
      <c r="J5" s="88">
        <v>3000</v>
      </c>
      <c r="K5" s="71"/>
      <c r="L5" s="70"/>
      <c r="M5" s="67">
        <f t="shared" si="0"/>
        <v>3000</v>
      </c>
      <c r="N5" s="69" t="s">
        <v>245</v>
      </c>
    </row>
    <row r="6" spans="1:14" ht="90" thickBot="1" x14ac:dyDescent="0.3">
      <c r="A6" s="50" t="s">
        <v>30</v>
      </c>
      <c r="B6" s="58">
        <v>40</v>
      </c>
      <c r="C6" s="59">
        <v>252105</v>
      </c>
      <c r="D6" s="60" t="s">
        <v>26</v>
      </c>
      <c r="E6" s="60"/>
      <c r="F6" s="60" t="s">
        <v>16</v>
      </c>
      <c r="G6" s="60" t="s">
        <v>17</v>
      </c>
      <c r="H6" s="93" t="s">
        <v>29</v>
      </c>
      <c r="I6" s="118">
        <v>4768.06052287488</v>
      </c>
      <c r="J6" s="88">
        <v>4000</v>
      </c>
      <c r="K6" s="71"/>
      <c r="L6" s="70"/>
      <c r="M6" s="67">
        <f t="shared" si="0"/>
        <v>4000</v>
      </c>
      <c r="N6" s="69" t="s">
        <v>245</v>
      </c>
    </row>
    <row r="7" spans="1:14" ht="115.5" thickBot="1" x14ac:dyDescent="0.3">
      <c r="A7" s="52" t="s">
        <v>31</v>
      </c>
      <c r="B7" s="58">
        <v>40</v>
      </c>
      <c r="C7" s="59">
        <v>252105</v>
      </c>
      <c r="D7" s="60" t="s">
        <v>26</v>
      </c>
      <c r="E7" s="60" t="s">
        <v>32</v>
      </c>
      <c r="F7" s="60" t="s">
        <v>33</v>
      </c>
      <c r="G7" s="60" t="s">
        <v>21</v>
      </c>
      <c r="H7" s="93" t="s">
        <v>34</v>
      </c>
      <c r="I7" s="118">
        <v>5559.5559680000006</v>
      </c>
      <c r="J7" s="88">
        <v>5000</v>
      </c>
      <c r="K7" s="71"/>
      <c r="L7" s="70"/>
      <c r="M7" s="67">
        <f t="shared" si="0"/>
        <v>5000</v>
      </c>
      <c r="N7" s="69" t="s">
        <v>245</v>
      </c>
    </row>
    <row r="8" spans="1:14" ht="115.5" thickBot="1" x14ac:dyDescent="0.3">
      <c r="A8" s="52" t="s">
        <v>35</v>
      </c>
      <c r="B8" s="58">
        <v>40</v>
      </c>
      <c r="C8" s="59">
        <v>252105</v>
      </c>
      <c r="D8" s="60" t="s">
        <v>26</v>
      </c>
      <c r="E8" s="60" t="s">
        <v>32</v>
      </c>
      <c r="F8" s="60" t="s">
        <v>36</v>
      </c>
      <c r="G8" s="60" t="s">
        <v>37</v>
      </c>
      <c r="H8" s="93" t="s">
        <v>34</v>
      </c>
      <c r="I8" s="118">
        <v>5837.4998235769608</v>
      </c>
      <c r="J8" s="88">
        <f>(6000+5000)/2</f>
        <v>5500</v>
      </c>
      <c r="K8" s="71"/>
      <c r="L8" s="70"/>
      <c r="M8" s="67">
        <f t="shared" si="0"/>
        <v>5500</v>
      </c>
      <c r="N8" s="69" t="s">
        <v>245</v>
      </c>
    </row>
    <row r="9" spans="1:14" ht="77.25" thickBot="1" x14ac:dyDescent="0.3">
      <c r="A9" s="52" t="s">
        <v>38</v>
      </c>
      <c r="B9" s="58">
        <v>40</v>
      </c>
      <c r="C9" s="59">
        <v>374405</v>
      </c>
      <c r="D9" s="60" t="s">
        <v>15</v>
      </c>
      <c r="E9" s="60" t="s">
        <v>39</v>
      </c>
      <c r="F9" s="60" t="s">
        <v>16</v>
      </c>
      <c r="G9" s="60" t="s">
        <v>17</v>
      </c>
      <c r="H9" s="92" t="s">
        <v>40</v>
      </c>
      <c r="I9" s="119">
        <v>3525.8529983600006</v>
      </c>
      <c r="J9" s="88">
        <v>4500</v>
      </c>
      <c r="K9" s="71"/>
      <c r="L9" s="70"/>
      <c r="M9" s="67">
        <f t="shared" si="0"/>
        <v>4500</v>
      </c>
      <c r="N9" s="69" t="s">
        <v>246</v>
      </c>
    </row>
    <row r="10" spans="1:14" ht="77.25" thickBot="1" x14ac:dyDescent="0.3">
      <c r="A10" s="52" t="s">
        <v>41</v>
      </c>
      <c r="B10" s="58">
        <v>40</v>
      </c>
      <c r="C10" s="59">
        <v>373205</v>
      </c>
      <c r="D10" s="60" t="s">
        <v>15</v>
      </c>
      <c r="E10" s="60" t="s">
        <v>39</v>
      </c>
      <c r="F10" s="60" t="s">
        <v>16</v>
      </c>
      <c r="G10" s="60" t="s">
        <v>17</v>
      </c>
      <c r="H10" s="92" t="s">
        <v>42</v>
      </c>
      <c r="I10" s="119">
        <v>3525.8529983600006</v>
      </c>
      <c r="J10" s="88">
        <v>3500</v>
      </c>
      <c r="K10" s="71"/>
      <c r="L10" s="70"/>
      <c r="M10" s="67">
        <f t="shared" si="0"/>
        <v>3500</v>
      </c>
      <c r="N10" s="69" t="s">
        <v>247</v>
      </c>
    </row>
    <row r="11" spans="1:14" ht="77.25" thickBot="1" x14ac:dyDescent="0.3">
      <c r="A11" s="52" t="s">
        <v>43</v>
      </c>
      <c r="B11" s="58">
        <v>40</v>
      </c>
      <c r="C11" s="59">
        <v>313215</v>
      </c>
      <c r="D11" s="60" t="s">
        <v>15</v>
      </c>
      <c r="E11" s="60" t="s">
        <v>44</v>
      </c>
      <c r="F11" s="60" t="s">
        <v>16</v>
      </c>
      <c r="G11" s="60" t="s">
        <v>17</v>
      </c>
      <c r="H11" s="92" t="s">
        <v>45</v>
      </c>
      <c r="I11" s="119">
        <v>3525.8529983600006</v>
      </c>
      <c r="J11" s="88">
        <v>4000</v>
      </c>
      <c r="K11" s="71"/>
      <c r="L11" s="70"/>
      <c r="M11" s="67">
        <f t="shared" si="0"/>
        <v>4000</v>
      </c>
      <c r="N11" s="69" t="s">
        <v>245</v>
      </c>
    </row>
    <row r="12" spans="1:14" ht="77.25" thickBot="1" x14ac:dyDescent="0.3">
      <c r="A12" s="52" t="s">
        <v>47</v>
      </c>
      <c r="B12" s="58">
        <v>40</v>
      </c>
      <c r="C12" s="59">
        <v>351605</v>
      </c>
      <c r="D12" s="60" t="s">
        <v>15</v>
      </c>
      <c r="E12" s="60" t="s">
        <v>48</v>
      </c>
      <c r="F12" s="60" t="s">
        <v>16</v>
      </c>
      <c r="G12" s="60" t="s">
        <v>17</v>
      </c>
      <c r="H12" s="92" t="s">
        <v>49</v>
      </c>
      <c r="I12" s="119">
        <v>4278.2939400000005</v>
      </c>
      <c r="J12" s="88">
        <v>3500</v>
      </c>
      <c r="K12" s="71"/>
      <c r="L12" s="70"/>
      <c r="M12" s="67">
        <f t="shared" si="0"/>
        <v>3500</v>
      </c>
      <c r="N12" s="69" t="s">
        <v>248</v>
      </c>
    </row>
    <row r="13" spans="1:14" ht="77.25" thickBot="1" x14ac:dyDescent="0.3">
      <c r="A13" s="52" t="s">
        <v>50</v>
      </c>
      <c r="B13" s="58">
        <v>40</v>
      </c>
      <c r="C13" s="59">
        <v>261205</v>
      </c>
      <c r="D13" s="60" t="s">
        <v>51</v>
      </c>
      <c r="E13" s="60" t="s">
        <v>52</v>
      </c>
      <c r="F13" s="60" t="s">
        <v>16</v>
      </c>
      <c r="G13" s="60" t="s">
        <v>17</v>
      </c>
      <c r="H13" s="92" t="s">
        <v>53</v>
      </c>
      <c r="I13" s="118">
        <v>4317.0823782979196</v>
      </c>
      <c r="J13" s="88">
        <v>5000</v>
      </c>
      <c r="K13" s="71"/>
      <c r="L13" s="70"/>
      <c r="M13" s="67">
        <f t="shared" si="0"/>
        <v>5000</v>
      </c>
      <c r="N13" s="69" t="s">
        <v>249</v>
      </c>
    </row>
    <row r="14" spans="1:14" ht="77.25" thickBot="1" x14ac:dyDescent="0.3">
      <c r="A14" s="52" t="s">
        <v>54</v>
      </c>
      <c r="B14" s="58">
        <v>40</v>
      </c>
      <c r="C14" s="59">
        <v>261125</v>
      </c>
      <c r="D14" s="60" t="s">
        <v>51</v>
      </c>
      <c r="E14" s="60" t="s">
        <v>55</v>
      </c>
      <c r="F14" s="60" t="s">
        <v>20</v>
      </c>
      <c r="G14" s="60" t="s">
        <v>21</v>
      </c>
      <c r="H14" s="92" t="s">
        <v>56</v>
      </c>
      <c r="I14" s="118">
        <v>5450.1268685001596</v>
      </c>
      <c r="J14" s="88">
        <v>5750</v>
      </c>
      <c r="K14" s="71"/>
      <c r="L14" s="70"/>
      <c r="M14" s="67">
        <f t="shared" si="0"/>
        <v>5750</v>
      </c>
      <c r="N14" s="69" t="s">
        <v>246</v>
      </c>
    </row>
    <row r="15" spans="1:14" ht="90" thickBot="1" x14ac:dyDescent="0.3">
      <c r="A15" s="52" t="s">
        <v>57</v>
      </c>
      <c r="B15" s="58">
        <v>40</v>
      </c>
      <c r="C15" s="59">
        <v>239410</v>
      </c>
      <c r="D15" s="60" t="s">
        <v>51</v>
      </c>
      <c r="E15" s="60" t="s">
        <v>55</v>
      </c>
      <c r="F15" s="60" t="s">
        <v>20</v>
      </c>
      <c r="G15" s="60" t="s">
        <v>21</v>
      </c>
      <c r="H15" s="92" t="s">
        <v>58</v>
      </c>
      <c r="I15" s="118">
        <v>5450.13</v>
      </c>
      <c r="J15" s="88">
        <v>4750</v>
      </c>
      <c r="K15" s="71"/>
      <c r="L15" s="70"/>
      <c r="M15" s="67">
        <f t="shared" si="0"/>
        <v>4750</v>
      </c>
      <c r="N15" s="69" t="s">
        <v>247</v>
      </c>
    </row>
    <row r="16" spans="1:14" ht="90" thickBot="1" x14ac:dyDescent="0.3">
      <c r="A16" s="52" t="s">
        <v>59</v>
      </c>
      <c r="B16" s="58">
        <v>40</v>
      </c>
      <c r="C16" s="59">
        <v>261805</v>
      </c>
      <c r="D16" s="60" t="s">
        <v>60</v>
      </c>
      <c r="E16" s="60" t="s">
        <v>61</v>
      </c>
      <c r="F16" s="60" t="s">
        <v>20</v>
      </c>
      <c r="G16" s="60" t="s">
        <v>21</v>
      </c>
      <c r="H16" s="92" t="s">
        <v>62</v>
      </c>
      <c r="I16" s="119">
        <v>6207.1564731791996</v>
      </c>
      <c r="J16" s="88">
        <v>5500</v>
      </c>
      <c r="K16" s="71"/>
      <c r="L16" s="70"/>
      <c r="M16" s="67">
        <f t="shared" si="0"/>
        <v>5500</v>
      </c>
      <c r="N16" s="69" t="s">
        <v>250</v>
      </c>
    </row>
    <row r="17" spans="1:14" ht="77.25" thickBot="1" x14ac:dyDescent="0.3">
      <c r="A17" s="52" t="s">
        <v>63</v>
      </c>
      <c r="B17" s="58">
        <v>40</v>
      </c>
      <c r="C17" s="59">
        <v>262410</v>
      </c>
      <c r="D17" s="60" t="s">
        <v>26</v>
      </c>
      <c r="E17" s="60"/>
      <c r="F17" s="60" t="s">
        <v>20</v>
      </c>
      <c r="G17" s="60" t="s">
        <v>21</v>
      </c>
      <c r="H17" s="92" t="s">
        <v>64</v>
      </c>
      <c r="I17" s="119">
        <v>7509.4989830291206</v>
      </c>
      <c r="J17" s="88">
        <v>5000</v>
      </c>
      <c r="K17" s="71"/>
      <c r="L17" s="70"/>
      <c r="M17" s="67">
        <f t="shared" si="0"/>
        <v>5000</v>
      </c>
      <c r="N17" s="69" t="s">
        <v>245</v>
      </c>
    </row>
    <row r="18" spans="1:14" ht="77.25" thickBot="1" x14ac:dyDescent="0.3">
      <c r="A18" s="52" t="s">
        <v>65</v>
      </c>
      <c r="B18" s="58">
        <v>40</v>
      </c>
      <c r="C18" s="59">
        <v>262410</v>
      </c>
      <c r="D18" s="60" t="s">
        <v>26</v>
      </c>
      <c r="E18" s="60" t="s">
        <v>55</v>
      </c>
      <c r="F18" s="60" t="s">
        <v>36</v>
      </c>
      <c r="G18" s="60" t="s">
        <v>37</v>
      </c>
      <c r="H18" s="92" t="s">
        <v>64</v>
      </c>
      <c r="I18" s="119">
        <v>8208.7108768649596</v>
      </c>
      <c r="J18" s="88">
        <f>(6000+5000)/2</f>
        <v>5500</v>
      </c>
      <c r="K18" s="71"/>
      <c r="L18" s="70"/>
      <c r="M18" s="67">
        <f t="shared" si="0"/>
        <v>5500</v>
      </c>
      <c r="N18" s="69" t="s">
        <v>245</v>
      </c>
    </row>
    <row r="19" spans="1:14" ht="77.25" thickBot="1" x14ac:dyDescent="0.3">
      <c r="A19" s="52" t="s">
        <v>66</v>
      </c>
      <c r="B19" s="58">
        <v>40</v>
      </c>
      <c r="C19" s="59">
        <v>261120</v>
      </c>
      <c r="D19" s="60" t="s">
        <v>26</v>
      </c>
      <c r="E19" s="60" t="s">
        <v>55</v>
      </c>
      <c r="F19" s="60" t="s">
        <v>36</v>
      </c>
      <c r="G19" s="60" t="s">
        <v>37</v>
      </c>
      <c r="H19" s="92" t="s">
        <v>67</v>
      </c>
      <c r="I19" s="119">
        <v>10442.711883887359</v>
      </c>
      <c r="J19" s="88">
        <f>(8750+11000)/2</f>
        <v>9875</v>
      </c>
      <c r="K19" s="71"/>
      <c r="L19" s="70"/>
      <c r="M19" s="67">
        <f t="shared" si="0"/>
        <v>9875</v>
      </c>
      <c r="N19" s="69" t="s">
        <v>251</v>
      </c>
    </row>
    <row r="20" spans="1:14" ht="115.5" thickBot="1" x14ac:dyDescent="0.3">
      <c r="A20" s="52" t="s">
        <v>68</v>
      </c>
      <c r="B20" s="58">
        <v>40</v>
      </c>
      <c r="C20" s="59">
        <v>214915</v>
      </c>
      <c r="D20" s="60" t="s">
        <v>26</v>
      </c>
      <c r="E20" s="60" t="s">
        <v>69</v>
      </c>
      <c r="F20" s="60" t="s">
        <v>16</v>
      </c>
      <c r="G20" s="60" t="s">
        <v>17</v>
      </c>
      <c r="H20" s="92" t="s">
        <v>70</v>
      </c>
      <c r="I20" s="119">
        <v>10401.213333333333</v>
      </c>
      <c r="J20" s="88">
        <v>12000</v>
      </c>
      <c r="K20" s="71"/>
      <c r="L20" s="70"/>
      <c r="M20" s="67">
        <f t="shared" si="0"/>
        <v>12000</v>
      </c>
      <c r="N20" s="69" t="s">
        <v>252</v>
      </c>
    </row>
    <row r="21" spans="1:14" ht="102.75" thickBot="1" x14ac:dyDescent="0.3">
      <c r="A21" s="52" t="s">
        <v>71</v>
      </c>
      <c r="B21" s="58">
        <v>40</v>
      </c>
      <c r="C21" s="59">
        <v>818110</v>
      </c>
      <c r="D21" s="60" t="s">
        <v>15</v>
      </c>
      <c r="E21" s="60" t="s">
        <v>72</v>
      </c>
      <c r="F21" s="60" t="s">
        <v>20</v>
      </c>
      <c r="G21" s="60" t="s">
        <v>21</v>
      </c>
      <c r="H21" s="92" t="s">
        <v>73</v>
      </c>
      <c r="I21" s="118">
        <v>2340.6941919999999</v>
      </c>
      <c r="J21" s="88">
        <v>1750</v>
      </c>
      <c r="K21" s="71"/>
      <c r="L21" s="70"/>
      <c r="M21" s="67">
        <f t="shared" si="0"/>
        <v>1750</v>
      </c>
      <c r="N21" s="69" t="s">
        <v>253</v>
      </c>
    </row>
    <row r="22" spans="1:14" ht="102.75" thickBot="1" x14ac:dyDescent="0.3">
      <c r="A22" s="52" t="s">
        <v>74</v>
      </c>
      <c r="B22" s="58">
        <v>40</v>
      </c>
      <c r="C22" s="59">
        <v>311105</v>
      </c>
      <c r="D22" s="60" t="s">
        <v>15</v>
      </c>
      <c r="E22" s="60" t="s">
        <v>75</v>
      </c>
      <c r="F22" s="60" t="s">
        <v>20</v>
      </c>
      <c r="G22" s="60" t="s">
        <v>21</v>
      </c>
      <c r="H22" s="92" t="s">
        <v>76</v>
      </c>
      <c r="I22" s="118">
        <v>3604.8115582617602</v>
      </c>
      <c r="J22" s="88">
        <v>3250</v>
      </c>
      <c r="K22" s="71"/>
      <c r="L22" s="70"/>
      <c r="M22" s="67">
        <f t="shared" si="0"/>
        <v>3250</v>
      </c>
      <c r="N22" s="69" t="s">
        <v>254</v>
      </c>
    </row>
    <row r="23" spans="1:14" ht="115.5" thickBot="1" x14ac:dyDescent="0.3">
      <c r="A23" s="52" t="s">
        <v>77</v>
      </c>
      <c r="B23" s="58">
        <v>20</v>
      </c>
      <c r="C23" s="59">
        <v>324130</v>
      </c>
      <c r="D23" s="60" t="s">
        <v>15</v>
      </c>
      <c r="E23" s="60" t="s">
        <v>78</v>
      </c>
      <c r="F23" s="60" t="s">
        <v>27</v>
      </c>
      <c r="G23" s="60" t="s">
        <v>28</v>
      </c>
      <c r="H23" s="92" t="s">
        <v>79</v>
      </c>
      <c r="I23" s="119">
        <v>1830.6685714285716</v>
      </c>
      <c r="J23" s="88"/>
      <c r="K23" s="71"/>
      <c r="L23" s="70"/>
      <c r="M23" s="67">
        <f t="shared" si="0"/>
        <v>0</v>
      </c>
      <c r="N23" s="72"/>
    </row>
    <row r="24" spans="1:14" ht="89.25" customHeight="1" thickBot="1" x14ac:dyDescent="0.3">
      <c r="A24" s="52" t="s">
        <v>81</v>
      </c>
      <c r="B24" s="58">
        <v>40</v>
      </c>
      <c r="C24" s="59">
        <v>322205</v>
      </c>
      <c r="D24" s="60" t="s">
        <v>82</v>
      </c>
      <c r="E24" s="60" t="s">
        <v>83</v>
      </c>
      <c r="F24" s="60" t="s">
        <v>27</v>
      </c>
      <c r="G24" s="60" t="s">
        <v>28</v>
      </c>
      <c r="H24" s="92" t="s">
        <v>84</v>
      </c>
      <c r="I24" s="118">
        <v>3604.8115582617602</v>
      </c>
      <c r="J24" s="88">
        <v>1461</v>
      </c>
      <c r="K24" s="71"/>
      <c r="L24" s="70"/>
      <c r="M24" s="67">
        <f t="shared" si="0"/>
        <v>1461</v>
      </c>
      <c r="N24" s="141" t="s">
        <v>255</v>
      </c>
    </row>
    <row r="25" spans="1:14" ht="104.25" customHeight="1" thickBot="1" x14ac:dyDescent="0.3">
      <c r="A25" s="52" t="s">
        <v>85</v>
      </c>
      <c r="B25" s="58">
        <v>40</v>
      </c>
      <c r="C25" s="59">
        <v>322205</v>
      </c>
      <c r="D25" s="60" t="s">
        <v>86</v>
      </c>
      <c r="E25" s="60" t="s">
        <v>83</v>
      </c>
      <c r="F25" s="60" t="s">
        <v>20</v>
      </c>
      <c r="G25" s="60" t="s">
        <v>21</v>
      </c>
      <c r="H25" s="92" t="s">
        <v>84</v>
      </c>
      <c r="I25" s="118">
        <v>3604.8115582617602</v>
      </c>
      <c r="J25" s="88">
        <v>2382</v>
      </c>
      <c r="K25" s="71"/>
      <c r="L25" s="70"/>
      <c r="M25" s="67">
        <f t="shared" si="0"/>
        <v>2382</v>
      </c>
      <c r="N25" s="141" t="s">
        <v>255</v>
      </c>
    </row>
    <row r="26" spans="1:14" ht="77.25" thickBot="1" x14ac:dyDescent="0.3">
      <c r="A26" s="52" t="s">
        <v>88</v>
      </c>
      <c r="B26" s="58">
        <v>40</v>
      </c>
      <c r="C26" s="59">
        <v>325115</v>
      </c>
      <c r="D26" s="60" t="s">
        <v>86</v>
      </c>
      <c r="E26" s="60"/>
      <c r="F26" s="60" t="s">
        <v>20</v>
      </c>
      <c r="G26" s="60" t="s">
        <v>21</v>
      </c>
      <c r="H26" s="92" t="s">
        <v>89</v>
      </c>
      <c r="I26" s="118">
        <v>3604.8115582617602</v>
      </c>
      <c r="J26" s="88">
        <v>4000</v>
      </c>
      <c r="K26" s="71"/>
      <c r="L26" s="70"/>
      <c r="M26" s="67">
        <f t="shared" si="0"/>
        <v>4000</v>
      </c>
      <c r="N26" s="69" t="s">
        <v>256</v>
      </c>
    </row>
    <row r="27" spans="1:14" ht="115.5" thickBot="1" x14ac:dyDescent="0.3">
      <c r="A27" s="52" t="s">
        <v>90</v>
      </c>
      <c r="B27" s="58">
        <v>30</v>
      </c>
      <c r="C27" s="59">
        <v>223605</v>
      </c>
      <c r="D27" s="60" t="s">
        <v>51</v>
      </c>
      <c r="E27" s="60" t="s">
        <v>91</v>
      </c>
      <c r="F27" s="60" t="s">
        <v>20</v>
      </c>
      <c r="G27" s="60" t="s">
        <v>21</v>
      </c>
      <c r="H27" s="92" t="s">
        <v>92</v>
      </c>
      <c r="I27" s="118">
        <v>4317.0823782979196</v>
      </c>
      <c r="J27" s="88">
        <v>4500</v>
      </c>
      <c r="K27" s="71"/>
      <c r="L27" s="70"/>
      <c r="M27" s="67">
        <f t="shared" si="0"/>
        <v>4500</v>
      </c>
      <c r="N27" s="69" t="s">
        <v>257</v>
      </c>
    </row>
    <row r="28" spans="1:14" ht="102.75" thickBot="1" x14ac:dyDescent="0.3">
      <c r="A28" s="52" t="s">
        <v>93</v>
      </c>
      <c r="B28" s="58">
        <v>40</v>
      </c>
      <c r="C28" s="59">
        <v>223710</v>
      </c>
      <c r="D28" s="60" t="s">
        <v>51</v>
      </c>
      <c r="E28" s="60" t="s">
        <v>94</v>
      </c>
      <c r="F28" s="60" t="s">
        <v>20</v>
      </c>
      <c r="G28" s="60" t="s">
        <v>21</v>
      </c>
      <c r="H28" s="92" t="s">
        <v>95</v>
      </c>
      <c r="I28" s="118">
        <v>4317.0823782979196</v>
      </c>
      <c r="J28" s="88">
        <v>4500</v>
      </c>
      <c r="K28" s="71"/>
      <c r="L28" s="70"/>
      <c r="M28" s="67">
        <f t="shared" si="0"/>
        <v>4500</v>
      </c>
      <c r="N28" s="69" t="s">
        <v>258</v>
      </c>
    </row>
    <row r="29" spans="1:14" ht="77.25" thickBot="1" x14ac:dyDescent="0.3">
      <c r="A29" s="52" t="s">
        <v>96</v>
      </c>
      <c r="B29" s="58">
        <v>40</v>
      </c>
      <c r="C29" s="59">
        <v>223405</v>
      </c>
      <c r="D29" s="60" t="s">
        <v>51</v>
      </c>
      <c r="E29" s="60" t="s">
        <v>97</v>
      </c>
      <c r="F29" s="60" t="s">
        <v>20</v>
      </c>
      <c r="G29" s="60" t="s">
        <v>21</v>
      </c>
      <c r="H29" s="92" t="s">
        <v>98</v>
      </c>
      <c r="I29" s="118">
        <v>5450.1303359999993</v>
      </c>
      <c r="J29" s="88">
        <v>4500</v>
      </c>
      <c r="K29" s="71"/>
      <c r="L29" s="70"/>
      <c r="M29" s="67">
        <f t="shared" si="0"/>
        <v>4500</v>
      </c>
      <c r="N29" s="69" t="s">
        <v>257</v>
      </c>
    </row>
    <row r="30" spans="1:14" ht="77.25" thickBot="1" x14ac:dyDescent="0.3">
      <c r="A30" s="52" t="s">
        <v>99</v>
      </c>
      <c r="B30" s="58">
        <v>40</v>
      </c>
      <c r="C30" s="59">
        <v>223405</v>
      </c>
      <c r="D30" s="60" t="s">
        <v>51</v>
      </c>
      <c r="E30" s="60" t="s">
        <v>100</v>
      </c>
      <c r="F30" s="60" t="s">
        <v>36</v>
      </c>
      <c r="G30" s="60" t="s">
        <v>37</v>
      </c>
      <c r="H30" s="92" t="s">
        <v>101</v>
      </c>
      <c r="I30" s="119">
        <v>6022.82</v>
      </c>
      <c r="J30" s="88">
        <f>(5000+4500)/2</f>
        <v>4750</v>
      </c>
      <c r="K30" s="149"/>
      <c r="L30" s="70"/>
      <c r="M30" s="67">
        <f t="shared" si="0"/>
        <v>4750</v>
      </c>
      <c r="N30" s="69" t="s">
        <v>257</v>
      </c>
    </row>
    <row r="31" spans="1:14" ht="77.25" thickBot="1" x14ac:dyDescent="0.3">
      <c r="A31" s="52" t="s">
        <v>103</v>
      </c>
      <c r="B31" s="58">
        <v>40</v>
      </c>
      <c r="C31" s="59">
        <v>221105</v>
      </c>
      <c r="D31" s="60" t="s">
        <v>51</v>
      </c>
      <c r="E31" s="60" t="s">
        <v>104</v>
      </c>
      <c r="F31" s="60" t="s">
        <v>20</v>
      </c>
      <c r="G31" s="60" t="s">
        <v>21</v>
      </c>
      <c r="H31" s="92" t="s">
        <v>105</v>
      </c>
      <c r="I31" s="119">
        <v>5450.1303359999993</v>
      </c>
      <c r="J31" s="88">
        <v>6500</v>
      </c>
      <c r="K31" s="71"/>
      <c r="L31" s="70"/>
      <c r="M31" s="67">
        <f t="shared" si="0"/>
        <v>6500</v>
      </c>
      <c r="N31" s="69" t="s">
        <v>244</v>
      </c>
    </row>
    <row r="32" spans="1:14" ht="77.25" thickBot="1" x14ac:dyDescent="0.3">
      <c r="A32" s="52" t="s">
        <v>106</v>
      </c>
      <c r="B32" s="58">
        <v>40</v>
      </c>
      <c r="C32" s="59">
        <v>223810</v>
      </c>
      <c r="D32" s="60" t="s">
        <v>51</v>
      </c>
      <c r="E32" s="60" t="s">
        <v>104</v>
      </c>
      <c r="F32" s="60" t="s">
        <v>20</v>
      </c>
      <c r="G32" s="60" t="s">
        <v>21</v>
      </c>
      <c r="H32" s="92" t="s">
        <v>107</v>
      </c>
      <c r="I32" s="119">
        <v>5450.1268685001596</v>
      </c>
      <c r="J32" s="88">
        <v>5750</v>
      </c>
      <c r="K32" s="71"/>
      <c r="L32" s="70"/>
      <c r="M32" s="67">
        <f t="shared" si="0"/>
        <v>5750</v>
      </c>
      <c r="N32" s="69" t="s">
        <v>246</v>
      </c>
    </row>
    <row r="33" spans="1:14" ht="72" customHeight="1" thickBot="1" x14ac:dyDescent="0.3">
      <c r="A33" s="52" t="s">
        <v>108</v>
      </c>
      <c r="B33" s="58">
        <v>40</v>
      </c>
      <c r="C33" s="59">
        <v>213205</v>
      </c>
      <c r="D33" s="60" t="s">
        <v>51</v>
      </c>
      <c r="E33" s="60" t="s">
        <v>104</v>
      </c>
      <c r="F33" s="60" t="s">
        <v>20</v>
      </c>
      <c r="G33" s="60" t="s">
        <v>21</v>
      </c>
      <c r="H33" s="92" t="s">
        <v>109</v>
      </c>
      <c r="I33" s="119">
        <v>5450.1268685001596</v>
      </c>
      <c r="J33" s="88">
        <v>13250</v>
      </c>
      <c r="K33" s="71"/>
      <c r="L33" s="70"/>
      <c r="M33" s="67">
        <f t="shared" si="0"/>
        <v>13250</v>
      </c>
      <c r="N33" s="69" t="s">
        <v>259</v>
      </c>
    </row>
    <row r="34" spans="1:14" ht="77.25" thickBot="1" x14ac:dyDescent="0.3">
      <c r="A34" s="52" t="s">
        <v>110</v>
      </c>
      <c r="B34" s="58">
        <v>40</v>
      </c>
      <c r="C34" s="59">
        <v>223505</v>
      </c>
      <c r="D34" s="60" t="s">
        <v>51</v>
      </c>
      <c r="E34" s="60" t="s">
        <v>111</v>
      </c>
      <c r="F34" s="60" t="s">
        <v>16</v>
      </c>
      <c r="G34" s="60" t="s">
        <v>17</v>
      </c>
      <c r="H34" s="92" t="s">
        <v>112</v>
      </c>
      <c r="I34" s="122">
        <v>6022.8171519999996</v>
      </c>
      <c r="J34" s="88">
        <v>5000</v>
      </c>
      <c r="K34" s="71"/>
      <c r="L34" s="70"/>
      <c r="M34" s="67">
        <f t="shared" si="0"/>
        <v>5000</v>
      </c>
      <c r="N34" s="69" t="s">
        <v>249</v>
      </c>
    </row>
    <row r="35" spans="1:14" ht="77.25" thickBot="1" x14ac:dyDescent="0.3">
      <c r="A35" s="52" t="s">
        <v>113</v>
      </c>
      <c r="B35" s="58">
        <v>40</v>
      </c>
      <c r="C35" s="59">
        <v>223505</v>
      </c>
      <c r="D35" s="60" t="s">
        <v>51</v>
      </c>
      <c r="E35" s="60" t="s">
        <v>114</v>
      </c>
      <c r="F35" s="60" t="s">
        <v>36</v>
      </c>
      <c r="G35" s="60" t="s">
        <v>37</v>
      </c>
      <c r="H35" s="92" t="s">
        <v>112</v>
      </c>
      <c r="I35" s="119">
        <v>6022.8171519999996</v>
      </c>
      <c r="J35" s="88">
        <f>(6000+7000)/2</f>
        <v>6500</v>
      </c>
      <c r="K35" s="71"/>
      <c r="L35" s="70"/>
      <c r="M35" s="67">
        <f t="shared" si="0"/>
        <v>6500</v>
      </c>
      <c r="N35" s="69" t="s">
        <v>249</v>
      </c>
    </row>
    <row r="36" spans="1:14" ht="90" thickBot="1" x14ac:dyDescent="0.3">
      <c r="A36" s="53" t="s">
        <v>115</v>
      </c>
      <c r="B36" s="61">
        <v>20</v>
      </c>
      <c r="C36" s="62">
        <v>225125</v>
      </c>
      <c r="D36" s="63" t="s">
        <v>51</v>
      </c>
      <c r="E36" s="63" t="s">
        <v>116</v>
      </c>
      <c r="F36" s="63" t="s">
        <v>36</v>
      </c>
      <c r="G36" s="63" t="s">
        <v>37</v>
      </c>
      <c r="H36" s="94" t="s">
        <v>107</v>
      </c>
      <c r="I36" s="120">
        <v>7509.5</v>
      </c>
      <c r="J36" s="89">
        <f>(17000+21000)/2</f>
        <v>19000</v>
      </c>
      <c r="K36" s="76"/>
      <c r="L36" s="75"/>
      <c r="M36" s="67">
        <f t="shared" si="0"/>
        <v>19000</v>
      </c>
      <c r="N36" s="69" t="s">
        <v>260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zoomScale="95" zoomScaleNormal="95" workbookViewId="0">
      <selection activeCell="C21" sqref="C21:C36"/>
    </sheetView>
  </sheetViews>
  <sheetFormatPr defaultRowHeight="15" x14ac:dyDescent="0.25"/>
  <cols>
    <col min="1" max="1" width="17.7109375" style="5" customWidth="1"/>
    <col min="2" max="2" width="8.5703125" style="6" bestFit="1" customWidth="1"/>
    <col min="3" max="3" width="8" style="6" bestFit="1" customWidth="1"/>
    <col min="4" max="5" width="16.42578125" style="6" customWidth="1"/>
    <col min="6" max="6" width="9.85546875" style="6" bestFit="1" customWidth="1"/>
    <col min="7" max="7" width="7.85546875" style="6" customWidth="1"/>
    <col min="8" max="8" width="76.42578125" style="6" customWidth="1"/>
    <col min="9" max="9" width="14.140625" style="123" customWidth="1"/>
    <col min="10" max="10" width="13.140625" style="7" customWidth="1"/>
    <col min="11" max="11" width="11.85546875" style="8" customWidth="1"/>
    <col min="12" max="12" width="11.140625" style="7" customWidth="1"/>
    <col min="13" max="13" width="13.42578125" style="7" customWidth="1"/>
    <col min="14" max="14" width="38" style="7" bestFit="1" customWidth="1"/>
  </cols>
  <sheetData>
    <row r="1" spans="1:14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86" t="s">
        <v>9</v>
      </c>
      <c r="K1" s="65" t="s">
        <v>10</v>
      </c>
      <c r="L1" s="64" t="s">
        <v>11</v>
      </c>
      <c r="M1" s="64" t="s">
        <v>12</v>
      </c>
      <c r="N1" s="66" t="s">
        <v>13</v>
      </c>
    </row>
    <row r="2" spans="1:14" ht="63.75" x14ac:dyDescent="0.25">
      <c r="A2" s="49" t="s">
        <v>14</v>
      </c>
      <c r="B2" s="55">
        <v>40</v>
      </c>
      <c r="C2" s="56">
        <v>411010</v>
      </c>
      <c r="D2" s="57" t="s">
        <v>15</v>
      </c>
      <c r="E2" s="57"/>
      <c r="F2" s="57" t="s">
        <v>16</v>
      </c>
      <c r="G2" s="57" t="s">
        <v>17</v>
      </c>
      <c r="H2" s="91" t="s">
        <v>18</v>
      </c>
      <c r="I2" s="117">
        <v>2721.4733710595206</v>
      </c>
      <c r="J2" s="87"/>
      <c r="K2" s="68">
        <v>40</v>
      </c>
      <c r="L2" s="67">
        <f t="shared" ref="L2:L8" si="0">J2/K2</f>
        <v>0</v>
      </c>
      <c r="M2" s="67">
        <f t="shared" ref="M2:M8" si="1">L2*B2</f>
        <v>0</v>
      </c>
      <c r="N2" s="69"/>
    </row>
    <row r="3" spans="1:14" ht="63.75" x14ac:dyDescent="0.25">
      <c r="A3" s="50" t="s">
        <v>19</v>
      </c>
      <c r="B3" s="58">
        <v>40</v>
      </c>
      <c r="C3" s="59">
        <v>411010</v>
      </c>
      <c r="D3" s="60" t="s">
        <v>15</v>
      </c>
      <c r="E3" s="60"/>
      <c r="F3" s="60" t="s">
        <v>20</v>
      </c>
      <c r="G3" s="60" t="s">
        <v>21</v>
      </c>
      <c r="H3" s="92" t="s">
        <v>22</v>
      </c>
      <c r="I3" s="118">
        <v>3525.8529983600006</v>
      </c>
      <c r="J3" s="88"/>
      <c r="K3" s="71">
        <v>40</v>
      </c>
      <c r="L3" s="78">
        <f t="shared" si="0"/>
        <v>0</v>
      </c>
      <c r="M3" s="70">
        <f t="shared" si="1"/>
        <v>0</v>
      </c>
      <c r="N3" s="72"/>
    </row>
    <row r="4" spans="1:14" ht="63.75" x14ac:dyDescent="0.25">
      <c r="A4" s="51" t="s">
        <v>23</v>
      </c>
      <c r="B4" s="58">
        <v>40</v>
      </c>
      <c r="C4" s="59">
        <v>252305</v>
      </c>
      <c r="D4" s="60" t="s">
        <v>15</v>
      </c>
      <c r="E4" s="60"/>
      <c r="F4" s="60" t="s">
        <v>16</v>
      </c>
      <c r="G4" s="60" t="s">
        <v>17</v>
      </c>
      <c r="H4" s="92" t="s">
        <v>24</v>
      </c>
      <c r="I4" s="118">
        <v>4768.06052287488</v>
      </c>
      <c r="J4" s="88"/>
      <c r="K4" s="71">
        <v>40</v>
      </c>
      <c r="L4" s="70">
        <f t="shared" si="0"/>
        <v>0</v>
      </c>
      <c r="M4" s="70">
        <f t="shared" si="1"/>
        <v>0</v>
      </c>
      <c r="N4" s="72"/>
    </row>
    <row r="5" spans="1:14" ht="89.25" x14ac:dyDescent="0.25">
      <c r="A5" s="50" t="s">
        <v>25</v>
      </c>
      <c r="B5" s="58">
        <v>40</v>
      </c>
      <c r="C5" s="59">
        <v>252105</v>
      </c>
      <c r="D5" s="60" t="s">
        <v>26</v>
      </c>
      <c r="E5" s="60"/>
      <c r="F5" s="60" t="s">
        <v>27</v>
      </c>
      <c r="G5" s="60" t="s">
        <v>28</v>
      </c>
      <c r="H5" s="93" t="s">
        <v>29</v>
      </c>
      <c r="I5" s="121">
        <v>3525.86</v>
      </c>
      <c r="J5" s="88"/>
      <c r="K5" s="71">
        <v>40</v>
      </c>
      <c r="L5" s="70">
        <f t="shared" si="0"/>
        <v>0</v>
      </c>
      <c r="M5" s="70">
        <f t="shared" si="1"/>
        <v>0</v>
      </c>
      <c r="N5" s="73"/>
    </row>
    <row r="6" spans="1:14" ht="89.25" x14ac:dyDescent="0.25">
      <c r="A6" s="50" t="s">
        <v>30</v>
      </c>
      <c r="B6" s="58">
        <v>40</v>
      </c>
      <c r="C6" s="59">
        <v>252105</v>
      </c>
      <c r="D6" s="60" t="s">
        <v>26</v>
      </c>
      <c r="E6" s="60"/>
      <c r="F6" s="60" t="s">
        <v>16</v>
      </c>
      <c r="G6" s="60" t="s">
        <v>17</v>
      </c>
      <c r="H6" s="93" t="s">
        <v>29</v>
      </c>
      <c r="I6" s="118">
        <v>4768.06052287488</v>
      </c>
      <c r="J6" s="88"/>
      <c r="K6" s="71">
        <v>40</v>
      </c>
      <c r="L6" s="70">
        <f t="shared" si="0"/>
        <v>0</v>
      </c>
      <c r="M6" s="70">
        <f t="shared" si="1"/>
        <v>0</v>
      </c>
      <c r="N6" s="72"/>
    </row>
    <row r="7" spans="1:14" ht="114.75" x14ac:dyDescent="0.25">
      <c r="A7" s="52" t="s">
        <v>31</v>
      </c>
      <c r="B7" s="58">
        <v>40</v>
      </c>
      <c r="C7" s="59">
        <v>252105</v>
      </c>
      <c r="D7" s="60" t="s">
        <v>26</v>
      </c>
      <c r="E7" s="60" t="s">
        <v>32</v>
      </c>
      <c r="F7" s="60" t="s">
        <v>33</v>
      </c>
      <c r="G7" s="60" t="s">
        <v>21</v>
      </c>
      <c r="H7" s="93" t="s">
        <v>34</v>
      </c>
      <c r="I7" s="118">
        <v>5559.5559680000006</v>
      </c>
      <c r="J7" s="88"/>
      <c r="K7" s="71">
        <v>40</v>
      </c>
      <c r="L7" s="70">
        <f t="shared" si="0"/>
        <v>0</v>
      </c>
      <c r="M7" s="70">
        <f t="shared" si="1"/>
        <v>0</v>
      </c>
      <c r="N7" s="72"/>
    </row>
    <row r="8" spans="1:14" ht="114.75" x14ac:dyDescent="0.25">
      <c r="A8" s="52" t="s">
        <v>35</v>
      </c>
      <c r="B8" s="58">
        <v>40</v>
      </c>
      <c r="C8" s="59">
        <v>252105</v>
      </c>
      <c r="D8" s="60" t="s">
        <v>26</v>
      </c>
      <c r="E8" s="60" t="s">
        <v>32</v>
      </c>
      <c r="F8" s="60" t="s">
        <v>36</v>
      </c>
      <c r="G8" s="60" t="s">
        <v>37</v>
      </c>
      <c r="H8" s="93" t="s">
        <v>34</v>
      </c>
      <c r="I8" s="118">
        <v>5837.4998235769608</v>
      </c>
      <c r="J8" s="88"/>
      <c r="K8" s="71">
        <v>40</v>
      </c>
      <c r="L8" s="70">
        <f t="shared" si="0"/>
        <v>0</v>
      </c>
      <c r="M8" s="70">
        <f t="shared" si="1"/>
        <v>0</v>
      </c>
      <c r="N8" s="72"/>
    </row>
    <row r="9" spans="1:14" ht="63.75" x14ac:dyDescent="0.25">
      <c r="A9" s="52" t="s">
        <v>38</v>
      </c>
      <c r="B9" s="58">
        <v>40</v>
      </c>
      <c r="C9" s="59">
        <v>374405</v>
      </c>
      <c r="D9" s="60" t="s">
        <v>15</v>
      </c>
      <c r="E9" s="60" t="s">
        <v>39</v>
      </c>
      <c r="F9" s="60" t="s">
        <v>16</v>
      </c>
      <c r="G9" s="60" t="s">
        <v>17</v>
      </c>
      <c r="H9" s="92" t="s">
        <v>40</v>
      </c>
      <c r="I9" s="119">
        <v>3525.8529983600006</v>
      </c>
      <c r="J9" s="88"/>
      <c r="K9" s="71"/>
      <c r="L9" s="70"/>
      <c r="M9" s="70"/>
      <c r="N9" s="72"/>
    </row>
    <row r="10" spans="1:14" ht="63.75" x14ac:dyDescent="0.25">
      <c r="A10" s="52" t="s">
        <v>41</v>
      </c>
      <c r="B10" s="58">
        <v>40</v>
      </c>
      <c r="C10" s="59">
        <v>373205</v>
      </c>
      <c r="D10" s="60" t="s">
        <v>15</v>
      </c>
      <c r="E10" s="60" t="s">
        <v>39</v>
      </c>
      <c r="F10" s="60" t="s">
        <v>16</v>
      </c>
      <c r="G10" s="60" t="s">
        <v>17</v>
      </c>
      <c r="H10" s="92" t="s">
        <v>42</v>
      </c>
      <c r="I10" s="119">
        <v>3525.8529983600006</v>
      </c>
      <c r="J10" s="88"/>
      <c r="K10" s="71">
        <v>40</v>
      </c>
      <c r="L10" s="70">
        <f t="shared" ref="L10:L36" si="2">J10/K10</f>
        <v>0</v>
      </c>
      <c r="M10" s="70">
        <f t="shared" ref="M10:M36" si="3">L10*B10</f>
        <v>0</v>
      </c>
      <c r="N10" s="72"/>
    </row>
    <row r="11" spans="1:14" ht="76.5" x14ac:dyDescent="0.25">
      <c r="A11" s="52" t="s">
        <v>43</v>
      </c>
      <c r="B11" s="58">
        <v>40</v>
      </c>
      <c r="C11" s="59">
        <v>313215</v>
      </c>
      <c r="D11" s="60" t="s">
        <v>15</v>
      </c>
      <c r="E11" s="60" t="s">
        <v>44</v>
      </c>
      <c r="F11" s="60" t="s">
        <v>16</v>
      </c>
      <c r="G11" s="60" t="s">
        <v>17</v>
      </c>
      <c r="H11" s="92" t="s">
        <v>45</v>
      </c>
      <c r="I11" s="119">
        <v>3525.8529983600006</v>
      </c>
      <c r="J11" s="88">
        <v>4650</v>
      </c>
      <c r="K11" s="71">
        <v>40</v>
      </c>
      <c r="L11" s="70">
        <f t="shared" si="2"/>
        <v>116.25</v>
      </c>
      <c r="M11" s="70">
        <f t="shared" si="3"/>
        <v>4650</v>
      </c>
      <c r="N11" s="103" t="s">
        <v>46</v>
      </c>
    </row>
    <row r="12" spans="1:14" ht="76.5" x14ac:dyDescent="0.25">
      <c r="A12" s="52" t="s">
        <v>47</v>
      </c>
      <c r="B12" s="58">
        <v>40</v>
      </c>
      <c r="C12" s="59">
        <v>351605</v>
      </c>
      <c r="D12" s="60" t="s">
        <v>15</v>
      </c>
      <c r="E12" s="60" t="s">
        <v>48</v>
      </c>
      <c r="F12" s="60" t="s">
        <v>16</v>
      </c>
      <c r="G12" s="60" t="s">
        <v>17</v>
      </c>
      <c r="H12" s="92" t="s">
        <v>49</v>
      </c>
      <c r="I12" s="119">
        <v>4278.2939400000005</v>
      </c>
      <c r="J12" s="88"/>
      <c r="K12" s="71">
        <v>40</v>
      </c>
      <c r="L12" s="70">
        <f t="shared" si="2"/>
        <v>0</v>
      </c>
      <c r="M12" s="70">
        <f t="shared" si="3"/>
        <v>0</v>
      </c>
      <c r="N12" s="72"/>
    </row>
    <row r="13" spans="1:14" ht="76.5" x14ac:dyDescent="0.25">
      <c r="A13" s="52" t="s">
        <v>50</v>
      </c>
      <c r="B13" s="58">
        <v>40</v>
      </c>
      <c r="C13" s="59">
        <v>261205</v>
      </c>
      <c r="D13" s="60" t="s">
        <v>51</v>
      </c>
      <c r="E13" s="60" t="s">
        <v>52</v>
      </c>
      <c r="F13" s="60" t="s">
        <v>16</v>
      </c>
      <c r="G13" s="60" t="s">
        <v>17</v>
      </c>
      <c r="H13" s="92" t="s">
        <v>53</v>
      </c>
      <c r="I13" s="118">
        <v>4317.0823782979196</v>
      </c>
      <c r="J13" s="88"/>
      <c r="K13" s="71">
        <v>40</v>
      </c>
      <c r="L13" s="70">
        <f t="shared" si="2"/>
        <v>0</v>
      </c>
      <c r="M13" s="70">
        <f t="shared" si="3"/>
        <v>0</v>
      </c>
      <c r="N13" s="72"/>
    </row>
    <row r="14" spans="1:14" ht="76.5" x14ac:dyDescent="0.25">
      <c r="A14" s="52" t="s">
        <v>54</v>
      </c>
      <c r="B14" s="58">
        <v>40</v>
      </c>
      <c r="C14" s="59">
        <v>261125</v>
      </c>
      <c r="D14" s="60" t="s">
        <v>51</v>
      </c>
      <c r="E14" s="60" t="s">
        <v>55</v>
      </c>
      <c r="F14" s="60" t="s">
        <v>20</v>
      </c>
      <c r="G14" s="60" t="s">
        <v>21</v>
      </c>
      <c r="H14" s="92" t="s">
        <v>56</v>
      </c>
      <c r="I14" s="118">
        <v>5450.1268685001596</v>
      </c>
      <c r="J14" s="88"/>
      <c r="K14" s="71">
        <v>40</v>
      </c>
      <c r="L14" s="70">
        <f t="shared" si="2"/>
        <v>0</v>
      </c>
      <c r="M14" s="70">
        <f t="shared" si="3"/>
        <v>0</v>
      </c>
      <c r="N14" s="72"/>
    </row>
    <row r="15" spans="1:14" ht="89.25" x14ac:dyDescent="0.25">
      <c r="A15" s="52" t="s">
        <v>57</v>
      </c>
      <c r="B15" s="58">
        <v>40</v>
      </c>
      <c r="C15" s="59">
        <v>239410</v>
      </c>
      <c r="D15" s="60" t="s">
        <v>51</v>
      </c>
      <c r="E15" s="60" t="s">
        <v>55</v>
      </c>
      <c r="F15" s="60" t="s">
        <v>20</v>
      </c>
      <c r="G15" s="60" t="s">
        <v>21</v>
      </c>
      <c r="H15" s="92" t="s">
        <v>58</v>
      </c>
      <c r="I15" s="118">
        <v>5450.13</v>
      </c>
      <c r="J15" s="88"/>
      <c r="K15" s="71">
        <v>40</v>
      </c>
      <c r="L15" s="70">
        <f t="shared" si="2"/>
        <v>0</v>
      </c>
      <c r="M15" s="70">
        <f t="shared" si="3"/>
        <v>0</v>
      </c>
      <c r="N15" s="72"/>
    </row>
    <row r="16" spans="1:14" ht="89.25" x14ac:dyDescent="0.25">
      <c r="A16" s="52" t="s">
        <v>59</v>
      </c>
      <c r="B16" s="58">
        <v>40</v>
      </c>
      <c r="C16" s="59">
        <v>261805</v>
      </c>
      <c r="D16" s="60" t="s">
        <v>60</v>
      </c>
      <c r="E16" s="60" t="s">
        <v>61</v>
      </c>
      <c r="F16" s="60" t="s">
        <v>20</v>
      </c>
      <c r="G16" s="60" t="s">
        <v>21</v>
      </c>
      <c r="H16" s="92" t="s">
        <v>62</v>
      </c>
      <c r="I16" s="119">
        <v>6207.1564731791996</v>
      </c>
      <c r="J16" s="88"/>
      <c r="K16" s="71">
        <v>40</v>
      </c>
      <c r="L16" s="70">
        <f t="shared" si="2"/>
        <v>0</v>
      </c>
      <c r="M16" s="70">
        <f t="shared" si="3"/>
        <v>0</v>
      </c>
      <c r="N16" s="74"/>
    </row>
    <row r="17" spans="1:14" ht="38.25" x14ac:dyDescent="0.25">
      <c r="A17" s="52" t="s">
        <v>63</v>
      </c>
      <c r="B17" s="58">
        <v>40</v>
      </c>
      <c r="C17" s="59">
        <v>262410</v>
      </c>
      <c r="D17" s="60" t="s">
        <v>26</v>
      </c>
      <c r="E17" s="60"/>
      <c r="F17" s="60" t="s">
        <v>20</v>
      </c>
      <c r="G17" s="60" t="s">
        <v>21</v>
      </c>
      <c r="H17" s="92" t="s">
        <v>64</v>
      </c>
      <c r="I17" s="119">
        <v>7509.4989830291206</v>
      </c>
      <c r="J17" s="88"/>
      <c r="K17" s="71">
        <v>40</v>
      </c>
      <c r="L17" s="70">
        <f t="shared" si="2"/>
        <v>0</v>
      </c>
      <c r="M17" s="70">
        <f t="shared" si="3"/>
        <v>0</v>
      </c>
      <c r="N17" s="72"/>
    </row>
    <row r="18" spans="1:14" ht="38.25" x14ac:dyDescent="0.25">
      <c r="A18" s="52" t="s">
        <v>65</v>
      </c>
      <c r="B18" s="58">
        <v>40</v>
      </c>
      <c r="C18" s="59">
        <v>262410</v>
      </c>
      <c r="D18" s="60" t="s">
        <v>26</v>
      </c>
      <c r="E18" s="60" t="s">
        <v>55</v>
      </c>
      <c r="F18" s="60" t="s">
        <v>36</v>
      </c>
      <c r="G18" s="60" t="s">
        <v>37</v>
      </c>
      <c r="H18" s="92" t="s">
        <v>64</v>
      </c>
      <c r="I18" s="119">
        <v>8208.7108768649596</v>
      </c>
      <c r="J18" s="88"/>
      <c r="K18" s="71">
        <v>40</v>
      </c>
      <c r="L18" s="70">
        <f t="shared" si="2"/>
        <v>0</v>
      </c>
      <c r="M18" s="70">
        <f t="shared" si="3"/>
        <v>0</v>
      </c>
      <c r="N18" s="72"/>
    </row>
    <row r="19" spans="1:14" ht="76.5" x14ac:dyDescent="0.25">
      <c r="A19" s="52" t="s">
        <v>66</v>
      </c>
      <c r="B19" s="58">
        <v>40</v>
      </c>
      <c r="C19" s="59">
        <v>261120</v>
      </c>
      <c r="D19" s="60" t="s">
        <v>26</v>
      </c>
      <c r="E19" s="60" t="s">
        <v>55</v>
      </c>
      <c r="F19" s="60" t="s">
        <v>36</v>
      </c>
      <c r="G19" s="60" t="s">
        <v>37</v>
      </c>
      <c r="H19" s="92" t="s">
        <v>67</v>
      </c>
      <c r="I19" s="119">
        <v>10442.711883887359</v>
      </c>
      <c r="J19" s="88"/>
      <c r="K19" s="71">
        <v>40</v>
      </c>
      <c r="L19" s="70">
        <f t="shared" si="2"/>
        <v>0</v>
      </c>
      <c r="M19" s="70">
        <f t="shared" si="3"/>
        <v>0</v>
      </c>
      <c r="N19" s="74"/>
    </row>
    <row r="20" spans="1:14" ht="114.75" x14ac:dyDescent="0.25">
      <c r="A20" s="52" t="s">
        <v>68</v>
      </c>
      <c r="B20" s="58">
        <v>40</v>
      </c>
      <c r="C20" s="59">
        <v>214915</v>
      </c>
      <c r="D20" s="60" t="s">
        <v>26</v>
      </c>
      <c r="E20" s="60" t="s">
        <v>69</v>
      </c>
      <c r="F20" s="60" t="s">
        <v>16</v>
      </c>
      <c r="G20" s="60" t="s">
        <v>17</v>
      </c>
      <c r="H20" s="92" t="s">
        <v>70</v>
      </c>
      <c r="I20" s="119">
        <v>10401.213333333333</v>
      </c>
      <c r="J20" s="88">
        <v>10715</v>
      </c>
      <c r="K20" s="71">
        <v>40</v>
      </c>
      <c r="L20" s="70">
        <f t="shared" si="2"/>
        <v>267.875</v>
      </c>
      <c r="M20" s="70">
        <f t="shared" si="3"/>
        <v>10715</v>
      </c>
      <c r="N20" s="103" t="s">
        <v>46</v>
      </c>
    </row>
    <row r="21" spans="1:14" ht="102" x14ac:dyDescent="0.25">
      <c r="A21" s="52" t="s">
        <v>71</v>
      </c>
      <c r="B21" s="58">
        <v>40</v>
      </c>
      <c r="C21" s="59">
        <v>818110</v>
      </c>
      <c r="D21" s="60" t="s">
        <v>15</v>
      </c>
      <c r="E21" s="60" t="s">
        <v>72</v>
      </c>
      <c r="F21" s="60" t="s">
        <v>20</v>
      </c>
      <c r="G21" s="60" t="s">
        <v>21</v>
      </c>
      <c r="H21" s="92" t="s">
        <v>73</v>
      </c>
      <c r="I21" s="118">
        <v>2340.6941919999999</v>
      </c>
      <c r="J21" s="88"/>
      <c r="K21" s="71">
        <v>40</v>
      </c>
      <c r="L21" s="70">
        <f t="shared" si="2"/>
        <v>0</v>
      </c>
      <c r="M21" s="70">
        <f t="shared" si="3"/>
        <v>0</v>
      </c>
      <c r="N21" s="74"/>
    </row>
    <row r="22" spans="1:14" ht="102" x14ac:dyDescent="0.25">
      <c r="A22" s="52" t="s">
        <v>74</v>
      </c>
      <c r="B22" s="58">
        <v>40</v>
      </c>
      <c r="C22" s="59">
        <v>311105</v>
      </c>
      <c r="D22" s="60" t="s">
        <v>15</v>
      </c>
      <c r="E22" s="60" t="s">
        <v>75</v>
      </c>
      <c r="F22" s="60" t="s">
        <v>20</v>
      </c>
      <c r="G22" s="60" t="s">
        <v>21</v>
      </c>
      <c r="H22" s="92" t="s">
        <v>76</v>
      </c>
      <c r="I22" s="118">
        <v>3604.8115582617602</v>
      </c>
      <c r="J22" s="88"/>
      <c r="K22" s="71">
        <v>40</v>
      </c>
      <c r="L22" s="70">
        <f t="shared" si="2"/>
        <v>0</v>
      </c>
      <c r="M22" s="70">
        <f t="shared" si="3"/>
        <v>0</v>
      </c>
      <c r="N22" s="74"/>
    </row>
    <row r="23" spans="1:14" ht="114.75" x14ac:dyDescent="0.25">
      <c r="A23" s="52" t="s">
        <v>77</v>
      </c>
      <c r="B23" s="58">
        <v>20</v>
      </c>
      <c r="C23" s="59">
        <v>324130</v>
      </c>
      <c r="D23" s="60" t="s">
        <v>15</v>
      </c>
      <c r="E23" s="60" t="s">
        <v>78</v>
      </c>
      <c r="F23" s="60" t="s">
        <v>27</v>
      </c>
      <c r="G23" s="60" t="s">
        <v>28</v>
      </c>
      <c r="H23" s="92" t="s">
        <v>79</v>
      </c>
      <c r="I23" s="119">
        <v>1830.6685714285716</v>
      </c>
      <c r="J23" s="88">
        <v>3549</v>
      </c>
      <c r="K23" s="71">
        <v>40</v>
      </c>
      <c r="L23" s="70">
        <f t="shared" si="2"/>
        <v>88.724999999999994</v>
      </c>
      <c r="M23" s="70">
        <f t="shared" si="3"/>
        <v>1774.5</v>
      </c>
      <c r="N23" s="103" t="s">
        <v>80</v>
      </c>
    </row>
    <row r="24" spans="1:14" ht="51" x14ac:dyDescent="0.25">
      <c r="A24" s="52" t="s">
        <v>81</v>
      </c>
      <c r="B24" s="58">
        <v>40</v>
      </c>
      <c r="C24" s="59">
        <v>322205</v>
      </c>
      <c r="D24" s="60" t="s">
        <v>82</v>
      </c>
      <c r="E24" s="60" t="s">
        <v>83</v>
      </c>
      <c r="F24" s="60" t="s">
        <v>27</v>
      </c>
      <c r="G24" s="60" t="s">
        <v>28</v>
      </c>
      <c r="H24" s="92" t="s">
        <v>84</v>
      </c>
      <c r="I24" s="118">
        <v>3604.8115582617602</v>
      </c>
      <c r="J24" s="88"/>
      <c r="K24" s="71">
        <v>40</v>
      </c>
      <c r="L24" s="70">
        <f t="shared" si="2"/>
        <v>0</v>
      </c>
      <c r="M24" s="70">
        <f t="shared" si="3"/>
        <v>0</v>
      </c>
      <c r="N24" s="72"/>
    </row>
    <row r="25" spans="1:14" ht="51" x14ac:dyDescent="0.25">
      <c r="A25" s="52" t="s">
        <v>85</v>
      </c>
      <c r="B25" s="58">
        <v>40</v>
      </c>
      <c r="C25" s="59">
        <v>322205</v>
      </c>
      <c r="D25" s="60" t="s">
        <v>86</v>
      </c>
      <c r="E25" s="60" t="s">
        <v>83</v>
      </c>
      <c r="F25" s="60" t="s">
        <v>20</v>
      </c>
      <c r="G25" s="60" t="s">
        <v>21</v>
      </c>
      <c r="H25" s="92" t="s">
        <v>84</v>
      </c>
      <c r="I25" s="118">
        <v>3604.8115582617602</v>
      </c>
      <c r="J25" s="88">
        <v>3549</v>
      </c>
      <c r="K25" s="71">
        <v>40</v>
      </c>
      <c r="L25" s="70">
        <f t="shared" si="2"/>
        <v>88.724999999999994</v>
      </c>
      <c r="M25" s="70">
        <f t="shared" si="3"/>
        <v>3549</v>
      </c>
      <c r="N25" s="103" t="s">
        <v>87</v>
      </c>
    </row>
    <row r="26" spans="1:14" ht="63.75" x14ac:dyDescent="0.25">
      <c r="A26" s="52" t="s">
        <v>88</v>
      </c>
      <c r="B26" s="58">
        <v>40</v>
      </c>
      <c r="C26" s="59">
        <v>325115</v>
      </c>
      <c r="D26" s="60" t="s">
        <v>86</v>
      </c>
      <c r="E26" s="60"/>
      <c r="F26" s="60" t="s">
        <v>20</v>
      </c>
      <c r="G26" s="60" t="s">
        <v>21</v>
      </c>
      <c r="H26" s="92" t="s">
        <v>89</v>
      </c>
      <c r="I26" s="118">
        <v>3604.8115582617602</v>
      </c>
      <c r="J26" s="88"/>
      <c r="K26" s="71">
        <v>40</v>
      </c>
      <c r="L26" s="70">
        <f t="shared" si="2"/>
        <v>0</v>
      </c>
      <c r="M26" s="70">
        <f t="shared" si="3"/>
        <v>0</v>
      </c>
      <c r="N26" s="72"/>
    </row>
    <row r="27" spans="1:14" ht="114.75" x14ac:dyDescent="0.25">
      <c r="A27" s="52" t="s">
        <v>90</v>
      </c>
      <c r="B27" s="58">
        <v>30</v>
      </c>
      <c r="C27" s="59">
        <v>223605</v>
      </c>
      <c r="D27" s="60" t="s">
        <v>51</v>
      </c>
      <c r="E27" s="60" t="s">
        <v>91</v>
      </c>
      <c r="F27" s="60" t="s">
        <v>20</v>
      </c>
      <c r="G27" s="60" t="s">
        <v>21</v>
      </c>
      <c r="H27" s="92" t="s">
        <v>92</v>
      </c>
      <c r="I27" s="118">
        <v>4317.0823782979196</v>
      </c>
      <c r="J27" s="88">
        <v>4920</v>
      </c>
      <c r="K27" s="71">
        <v>40</v>
      </c>
      <c r="L27" s="70">
        <f t="shared" si="2"/>
        <v>123</v>
      </c>
      <c r="M27" s="70">
        <f t="shared" si="3"/>
        <v>3690</v>
      </c>
      <c r="N27" s="103" t="s">
        <v>87</v>
      </c>
    </row>
    <row r="28" spans="1:14" ht="102" x14ac:dyDescent="0.25">
      <c r="A28" s="52" t="s">
        <v>93</v>
      </c>
      <c r="B28" s="58">
        <v>40</v>
      </c>
      <c r="C28" s="59">
        <v>223710</v>
      </c>
      <c r="D28" s="60" t="s">
        <v>51</v>
      </c>
      <c r="E28" s="60" t="s">
        <v>94</v>
      </c>
      <c r="F28" s="60" t="s">
        <v>20</v>
      </c>
      <c r="G28" s="60" t="s">
        <v>21</v>
      </c>
      <c r="H28" s="92" t="s">
        <v>95</v>
      </c>
      <c r="I28" s="118">
        <v>4317.0823782979196</v>
      </c>
      <c r="J28" s="88">
        <v>5306</v>
      </c>
      <c r="K28" s="71">
        <v>40</v>
      </c>
      <c r="L28" s="70">
        <f t="shared" si="2"/>
        <v>132.65</v>
      </c>
      <c r="M28" s="70">
        <f t="shared" si="3"/>
        <v>5306</v>
      </c>
      <c r="N28" s="103" t="s">
        <v>87</v>
      </c>
    </row>
    <row r="29" spans="1:14" ht="76.5" x14ac:dyDescent="0.25">
      <c r="A29" s="52" t="s">
        <v>96</v>
      </c>
      <c r="B29" s="58">
        <v>40</v>
      </c>
      <c r="C29" s="59">
        <v>223405</v>
      </c>
      <c r="D29" s="60" t="s">
        <v>51</v>
      </c>
      <c r="E29" s="60" t="s">
        <v>97</v>
      </c>
      <c r="F29" s="60" t="s">
        <v>20</v>
      </c>
      <c r="G29" s="60" t="s">
        <v>21</v>
      </c>
      <c r="H29" s="92" t="s">
        <v>98</v>
      </c>
      <c r="I29" s="118">
        <v>5450.1303359999993</v>
      </c>
      <c r="J29" s="88">
        <v>6897</v>
      </c>
      <c r="K29" s="71">
        <v>40</v>
      </c>
      <c r="L29" s="70">
        <f t="shared" si="2"/>
        <v>172.42500000000001</v>
      </c>
      <c r="M29" s="70">
        <f t="shared" si="3"/>
        <v>6897</v>
      </c>
      <c r="N29" s="103" t="s">
        <v>87</v>
      </c>
    </row>
    <row r="30" spans="1:14" ht="114.75" x14ac:dyDescent="0.25">
      <c r="A30" s="52" t="s">
        <v>99</v>
      </c>
      <c r="B30" s="58">
        <v>40</v>
      </c>
      <c r="C30" s="59">
        <v>223405</v>
      </c>
      <c r="D30" s="60" t="s">
        <v>51</v>
      </c>
      <c r="E30" s="60" t="s">
        <v>100</v>
      </c>
      <c r="F30" s="60" t="s">
        <v>36</v>
      </c>
      <c r="G30" s="60" t="s">
        <v>37</v>
      </c>
      <c r="H30" s="92" t="s">
        <v>101</v>
      </c>
      <c r="I30" s="119">
        <v>6022.82</v>
      </c>
      <c r="J30" s="88">
        <f>J29*1.1</f>
        <v>7586.7000000000007</v>
      </c>
      <c r="K30" s="71">
        <v>40</v>
      </c>
      <c r="L30" s="70">
        <f t="shared" si="2"/>
        <v>189.66750000000002</v>
      </c>
      <c r="M30" s="70">
        <f t="shared" si="3"/>
        <v>7586.7000000000007</v>
      </c>
      <c r="N30" s="103" t="s">
        <v>102</v>
      </c>
    </row>
    <row r="31" spans="1:14" ht="51" x14ac:dyDescent="0.25">
      <c r="A31" s="52" t="s">
        <v>103</v>
      </c>
      <c r="B31" s="58">
        <v>40</v>
      </c>
      <c r="C31" s="59">
        <v>221105</v>
      </c>
      <c r="D31" s="60" t="s">
        <v>51</v>
      </c>
      <c r="E31" s="60" t="s">
        <v>104</v>
      </c>
      <c r="F31" s="60" t="s">
        <v>20</v>
      </c>
      <c r="G31" s="60" t="s">
        <v>21</v>
      </c>
      <c r="H31" s="92" t="s">
        <v>105</v>
      </c>
      <c r="I31" s="119">
        <v>5450.1303359999993</v>
      </c>
      <c r="J31" s="88"/>
      <c r="K31" s="71">
        <v>40</v>
      </c>
      <c r="L31" s="70">
        <f t="shared" si="2"/>
        <v>0</v>
      </c>
      <c r="M31" s="70">
        <f t="shared" si="3"/>
        <v>0</v>
      </c>
      <c r="N31" s="72"/>
    </row>
    <row r="32" spans="1:14" ht="51" x14ac:dyDescent="0.25">
      <c r="A32" s="52" t="s">
        <v>106</v>
      </c>
      <c r="B32" s="58">
        <v>40</v>
      </c>
      <c r="C32" s="59">
        <v>223810</v>
      </c>
      <c r="D32" s="60" t="s">
        <v>51</v>
      </c>
      <c r="E32" s="60" t="s">
        <v>104</v>
      </c>
      <c r="F32" s="60" t="s">
        <v>20</v>
      </c>
      <c r="G32" s="60" t="s">
        <v>21</v>
      </c>
      <c r="H32" s="92" t="s">
        <v>107</v>
      </c>
      <c r="I32" s="119">
        <v>5450.1268685001596</v>
      </c>
      <c r="J32" s="88">
        <v>4992</v>
      </c>
      <c r="K32" s="71">
        <v>40</v>
      </c>
      <c r="L32" s="70">
        <f t="shared" si="2"/>
        <v>124.8</v>
      </c>
      <c r="M32" s="70">
        <f t="shared" si="3"/>
        <v>4992</v>
      </c>
      <c r="N32" s="103" t="s">
        <v>87</v>
      </c>
    </row>
    <row r="33" spans="1:14" ht="72" customHeight="1" x14ac:dyDescent="0.25">
      <c r="A33" s="52" t="s">
        <v>108</v>
      </c>
      <c r="B33" s="58">
        <v>40</v>
      </c>
      <c r="C33" s="59">
        <v>213205</v>
      </c>
      <c r="D33" s="60" t="s">
        <v>51</v>
      </c>
      <c r="E33" s="60" t="s">
        <v>104</v>
      </c>
      <c r="F33" s="60" t="s">
        <v>20</v>
      </c>
      <c r="G33" s="60" t="s">
        <v>21</v>
      </c>
      <c r="H33" s="92" t="s">
        <v>109</v>
      </c>
      <c r="I33" s="119">
        <v>5450.1268685001596</v>
      </c>
      <c r="J33" s="88"/>
      <c r="K33" s="71">
        <v>40</v>
      </c>
      <c r="L33" s="70">
        <f t="shared" si="2"/>
        <v>0</v>
      </c>
      <c r="M33" s="70">
        <f t="shared" si="3"/>
        <v>0</v>
      </c>
      <c r="N33" s="72"/>
    </row>
    <row r="34" spans="1:14" ht="63.75" x14ac:dyDescent="0.25">
      <c r="A34" s="52" t="s">
        <v>110</v>
      </c>
      <c r="B34" s="58">
        <v>40</v>
      </c>
      <c r="C34" s="59">
        <v>223505</v>
      </c>
      <c r="D34" s="60" t="s">
        <v>51</v>
      </c>
      <c r="E34" s="60" t="s">
        <v>111</v>
      </c>
      <c r="F34" s="60" t="s">
        <v>16</v>
      </c>
      <c r="G34" s="60" t="s">
        <v>17</v>
      </c>
      <c r="H34" s="92" t="s">
        <v>112</v>
      </c>
      <c r="I34" s="122">
        <v>6022.8171519999996</v>
      </c>
      <c r="J34" s="88">
        <v>4747</v>
      </c>
      <c r="K34" s="71">
        <v>40</v>
      </c>
      <c r="L34" s="70">
        <f t="shared" si="2"/>
        <v>118.675</v>
      </c>
      <c r="M34" s="70">
        <f t="shared" si="3"/>
        <v>4747</v>
      </c>
      <c r="N34" s="72"/>
    </row>
    <row r="35" spans="1:14" ht="63.75" x14ac:dyDescent="0.25">
      <c r="A35" s="52" t="s">
        <v>113</v>
      </c>
      <c r="B35" s="58">
        <v>40</v>
      </c>
      <c r="C35" s="59">
        <v>223505</v>
      </c>
      <c r="D35" s="60" t="s">
        <v>51</v>
      </c>
      <c r="E35" s="60" t="s">
        <v>114</v>
      </c>
      <c r="F35" s="60" t="s">
        <v>36</v>
      </c>
      <c r="G35" s="60" t="s">
        <v>37</v>
      </c>
      <c r="H35" s="92" t="s">
        <v>112</v>
      </c>
      <c r="I35" s="119">
        <v>6022.8171519999996</v>
      </c>
      <c r="J35" s="88">
        <v>6138</v>
      </c>
      <c r="K35" s="71">
        <v>40</v>
      </c>
      <c r="L35" s="70">
        <f t="shared" si="2"/>
        <v>153.44999999999999</v>
      </c>
      <c r="M35" s="70">
        <f t="shared" si="3"/>
        <v>6138</v>
      </c>
      <c r="N35" s="103" t="s">
        <v>87</v>
      </c>
    </row>
    <row r="36" spans="1:14" ht="90" thickBot="1" x14ac:dyDescent="0.3">
      <c r="A36" s="53" t="s">
        <v>115</v>
      </c>
      <c r="B36" s="61">
        <v>20</v>
      </c>
      <c r="C36" s="62">
        <v>225125</v>
      </c>
      <c r="D36" s="63" t="s">
        <v>51</v>
      </c>
      <c r="E36" s="63" t="s">
        <v>116</v>
      </c>
      <c r="F36" s="63" t="s">
        <v>36</v>
      </c>
      <c r="G36" s="63" t="s">
        <v>37</v>
      </c>
      <c r="H36" s="94" t="s">
        <v>107</v>
      </c>
      <c r="I36" s="120">
        <v>7509.5</v>
      </c>
      <c r="J36" s="89"/>
      <c r="K36" s="76">
        <v>40</v>
      </c>
      <c r="L36" s="75">
        <f t="shared" si="2"/>
        <v>0</v>
      </c>
      <c r="M36" s="75">
        <f t="shared" si="3"/>
        <v>0</v>
      </c>
      <c r="N36" s="77"/>
    </row>
    <row r="40" spans="1:14" x14ac:dyDescent="0.25">
      <c r="J40" s="148"/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6"/>
  <sheetViews>
    <sheetView topLeftCell="A19" zoomScale="90" zoomScaleNormal="90" workbookViewId="0">
      <selection activeCell="C21" sqref="C21:C36"/>
    </sheetView>
  </sheetViews>
  <sheetFormatPr defaultRowHeight="15" x14ac:dyDescent="0.25"/>
  <cols>
    <col min="1" max="1" width="17.7109375" style="5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76.42578125" style="6" customWidth="1"/>
    <col min="9" max="9" width="14.140625" style="123" customWidth="1"/>
    <col min="10" max="11" width="11.85546875" style="7" customWidth="1"/>
    <col min="12" max="12" width="11.85546875" style="8" customWidth="1"/>
    <col min="13" max="13" width="11.140625" style="7" customWidth="1"/>
    <col min="14" max="14" width="13.28515625" style="7" customWidth="1"/>
    <col min="15" max="15" width="38" style="7" bestFit="1" customWidth="1"/>
  </cols>
  <sheetData>
    <row r="1" spans="1:15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86" t="s">
        <v>9</v>
      </c>
      <c r="K1" s="64" t="s">
        <v>261</v>
      </c>
      <c r="L1" s="65" t="s">
        <v>10</v>
      </c>
      <c r="M1" s="64" t="s">
        <v>11</v>
      </c>
      <c r="N1" s="64" t="s">
        <v>12</v>
      </c>
      <c r="O1" s="66" t="s">
        <v>13</v>
      </c>
    </row>
    <row r="2" spans="1:15" ht="64.5" thickBot="1" x14ac:dyDescent="0.3">
      <c r="A2" s="49" t="s">
        <v>14</v>
      </c>
      <c r="B2" s="55">
        <v>40</v>
      </c>
      <c r="C2" s="56">
        <v>411010</v>
      </c>
      <c r="D2" s="57" t="s">
        <v>15</v>
      </c>
      <c r="E2" s="57"/>
      <c r="F2" s="57" t="s">
        <v>16</v>
      </c>
      <c r="G2" s="57" t="s">
        <v>17</v>
      </c>
      <c r="H2" s="91" t="s">
        <v>18</v>
      </c>
      <c r="I2" s="117">
        <v>2721.4733710595206</v>
      </c>
      <c r="J2" s="87">
        <v>2500</v>
      </c>
      <c r="K2" s="67"/>
      <c r="L2" s="68"/>
      <c r="M2" s="67"/>
      <c r="N2" s="67">
        <f>J2</f>
        <v>2500</v>
      </c>
      <c r="O2" s="69" t="s">
        <v>262</v>
      </c>
    </row>
    <row r="3" spans="1:15" ht="64.5" thickBot="1" x14ac:dyDescent="0.3">
      <c r="A3" s="50" t="s">
        <v>19</v>
      </c>
      <c r="B3" s="58">
        <v>40</v>
      </c>
      <c r="C3" s="59">
        <v>411010</v>
      </c>
      <c r="D3" s="60" t="s">
        <v>15</v>
      </c>
      <c r="E3" s="60"/>
      <c r="F3" s="60" t="s">
        <v>20</v>
      </c>
      <c r="G3" s="60" t="s">
        <v>21</v>
      </c>
      <c r="H3" s="92" t="s">
        <v>22</v>
      </c>
      <c r="I3" s="118">
        <v>3525.8529983600006</v>
      </c>
      <c r="J3" s="88">
        <v>2750</v>
      </c>
      <c r="K3" s="70"/>
      <c r="L3" s="71"/>
      <c r="M3" s="78"/>
      <c r="N3" s="67">
        <f t="shared" ref="N3:N36" si="0">J3</f>
        <v>2750</v>
      </c>
      <c r="O3" s="69" t="s">
        <v>262</v>
      </c>
    </row>
    <row r="4" spans="1:15" ht="64.5" thickBot="1" x14ac:dyDescent="0.3">
      <c r="A4" s="51" t="s">
        <v>23</v>
      </c>
      <c r="B4" s="58">
        <v>40</v>
      </c>
      <c r="C4" s="59">
        <v>252305</v>
      </c>
      <c r="D4" s="60" t="s">
        <v>15</v>
      </c>
      <c r="E4" s="60"/>
      <c r="F4" s="60" t="s">
        <v>16</v>
      </c>
      <c r="G4" s="60" t="s">
        <v>17</v>
      </c>
      <c r="H4" s="92" t="s">
        <v>24</v>
      </c>
      <c r="I4" s="118">
        <v>4768.06052287488</v>
      </c>
      <c r="J4" s="88"/>
      <c r="K4" s="70"/>
      <c r="L4" s="71"/>
      <c r="M4" s="70"/>
      <c r="N4" s="67">
        <f t="shared" si="0"/>
        <v>0</v>
      </c>
      <c r="O4" s="72"/>
    </row>
    <row r="5" spans="1:15" ht="90" thickBot="1" x14ac:dyDescent="0.3">
      <c r="A5" s="50" t="s">
        <v>25</v>
      </c>
      <c r="B5" s="58">
        <v>40</v>
      </c>
      <c r="C5" s="59">
        <v>252105</v>
      </c>
      <c r="D5" s="60" t="s">
        <v>26</v>
      </c>
      <c r="E5" s="60"/>
      <c r="F5" s="60" t="s">
        <v>27</v>
      </c>
      <c r="G5" s="60" t="s">
        <v>28</v>
      </c>
      <c r="H5" s="93" t="s">
        <v>29</v>
      </c>
      <c r="I5" s="121">
        <v>3525.86</v>
      </c>
      <c r="J5" s="88">
        <v>3250</v>
      </c>
      <c r="K5" s="70"/>
      <c r="L5" s="71"/>
      <c r="M5" s="70"/>
      <c r="N5" s="67">
        <f t="shared" si="0"/>
        <v>3250</v>
      </c>
      <c r="O5" s="69" t="s">
        <v>263</v>
      </c>
    </row>
    <row r="6" spans="1:15" ht="90" thickBot="1" x14ac:dyDescent="0.3">
      <c r="A6" s="50" t="s">
        <v>30</v>
      </c>
      <c r="B6" s="58">
        <v>40</v>
      </c>
      <c r="C6" s="59">
        <v>252105</v>
      </c>
      <c r="D6" s="60" t="s">
        <v>26</v>
      </c>
      <c r="E6" s="60"/>
      <c r="F6" s="60" t="s">
        <v>16</v>
      </c>
      <c r="G6" s="60" t="s">
        <v>17</v>
      </c>
      <c r="H6" s="93" t="s">
        <v>29</v>
      </c>
      <c r="I6" s="118">
        <v>4768.06052287488</v>
      </c>
      <c r="J6" s="88">
        <v>3500</v>
      </c>
      <c r="K6" s="70"/>
      <c r="L6" s="71"/>
      <c r="M6" s="70"/>
      <c r="N6" s="67">
        <f t="shared" si="0"/>
        <v>3500</v>
      </c>
      <c r="O6" s="69" t="s">
        <v>263</v>
      </c>
    </row>
    <row r="7" spans="1:15" ht="115.5" thickBot="1" x14ac:dyDescent="0.3">
      <c r="A7" s="52" t="s">
        <v>31</v>
      </c>
      <c r="B7" s="58">
        <v>40</v>
      </c>
      <c r="C7" s="59">
        <v>252105</v>
      </c>
      <c r="D7" s="60" t="s">
        <v>26</v>
      </c>
      <c r="E7" s="60" t="s">
        <v>32</v>
      </c>
      <c r="F7" s="60" t="s">
        <v>33</v>
      </c>
      <c r="G7" s="60" t="s">
        <v>21</v>
      </c>
      <c r="H7" s="93" t="s">
        <v>34</v>
      </c>
      <c r="I7" s="118">
        <v>5559.5559680000006</v>
      </c>
      <c r="J7" s="88">
        <v>3750</v>
      </c>
      <c r="K7" s="70"/>
      <c r="L7" s="71"/>
      <c r="M7" s="70"/>
      <c r="N7" s="67">
        <f t="shared" si="0"/>
        <v>3750</v>
      </c>
      <c r="O7" s="69" t="s">
        <v>263</v>
      </c>
    </row>
    <row r="8" spans="1:15" ht="115.5" thickBot="1" x14ac:dyDescent="0.3">
      <c r="A8" s="52" t="s">
        <v>35</v>
      </c>
      <c r="B8" s="58">
        <v>40</v>
      </c>
      <c r="C8" s="59">
        <v>252105</v>
      </c>
      <c r="D8" s="60" t="s">
        <v>26</v>
      </c>
      <c r="E8" s="60" t="s">
        <v>32</v>
      </c>
      <c r="F8" s="60" t="s">
        <v>36</v>
      </c>
      <c r="G8" s="60" t="s">
        <v>37</v>
      </c>
      <c r="H8" s="93" t="s">
        <v>34</v>
      </c>
      <c r="I8" s="118">
        <v>5837.4998235769608</v>
      </c>
      <c r="J8" s="88">
        <f>(3750+4000)/2</f>
        <v>3875</v>
      </c>
      <c r="K8" s="70"/>
      <c r="L8" s="71"/>
      <c r="M8" s="70"/>
      <c r="N8" s="67">
        <f t="shared" si="0"/>
        <v>3875</v>
      </c>
      <c r="O8" s="69" t="s">
        <v>263</v>
      </c>
    </row>
    <row r="9" spans="1:15" ht="64.5" thickBot="1" x14ac:dyDescent="0.3">
      <c r="A9" s="52" t="s">
        <v>38</v>
      </c>
      <c r="B9" s="58">
        <v>40</v>
      </c>
      <c r="C9" s="59">
        <v>374405</v>
      </c>
      <c r="D9" s="60" t="s">
        <v>15</v>
      </c>
      <c r="E9" s="60" t="s">
        <v>39</v>
      </c>
      <c r="F9" s="60" t="s">
        <v>16</v>
      </c>
      <c r="G9" s="60" t="s">
        <v>17</v>
      </c>
      <c r="H9" s="92" t="s">
        <v>40</v>
      </c>
      <c r="I9" s="119">
        <v>3525.8529983600006</v>
      </c>
      <c r="J9" s="88"/>
      <c r="K9" s="70"/>
      <c r="L9" s="71"/>
      <c r="M9" s="70"/>
      <c r="N9" s="67">
        <f t="shared" si="0"/>
        <v>0</v>
      </c>
      <c r="O9" s="72"/>
    </row>
    <row r="10" spans="1:15" ht="64.5" thickBot="1" x14ac:dyDescent="0.3">
      <c r="A10" s="52" t="s">
        <v>41</v>
      </c>
      <c r="B10" s="58">
        <v>40</v>
      </c>
      <c r="C10" s="59">
        <v>373205</v>
      </c>
      <c r="D10" s="60" t="s">
        <v>15</v>
      </c>
      <c r="E10" s="60" t="s">
        <v>39</v>
      </c>
      <c r="F10" s="60" t="s">
        <v>16</v>
      </c>
      <c r="G10" s="60" t="s">
        <v>17</v>
      </c>
      <c r="H10" s="92" t="s">
        <v>42</v>
      </c>
      <c r="I10" s="119">
        <v>3525.8529983600006</v>
      </c>
      <c r="J10" s="88"/>
      <c r="K10" s="70"/>
      <c r="L10" s="71"/>
      <c r="M10" s="70"/>
      <c r="N10" s="67">
        <f t="shared" si="0"/>
        <v>0</v>
      </c>
      <c r="O10" s="72"/>
    </row>
    <row r="11" spans="1:15" ht="77.25" thickBot="1" x14ac:dyDescent="0.3">
      <c r="A11" s="52" t="s">
        <v>43</v>
      </c>
      <c r="B11" s="58">
        <v>40</v>
      </c>
      <c r="C11" s="59">
        <v>313215</v>
      </c>
      <c r="D11" s="60" t="s">
        <v>15</v>
      </c>
      <c r="E11" s="60" t="s">
        <v>44</v>
      </c>
      <c r="F11" s="60" t="s">
        <v>16</v>
      </c>
      <c r="G11" s="60" t="s">
        <v>17</v>
      </c>
      <c r="H11" s="92" t="s">
        <v>45</v>
      </c>
      <c r="I11" s="119">
        <v>3525.8529983600006</v>
      </c>
      <c r="J11" s="88">
        <v>2500</v>
      </c>
      <c r="K11" s="70"/>
      <c r="L11" s="71"/>
      <c r="M11" s="70"/>
      <c r="N11" s="67">
        <f t="shared" si="0"/>
        <v>2500</v>
      </c>
      <c r="O11" s="69" t="s">
        <v>262</v>
      </c>
    </row>
    <row r="12" spans="1:15" ht="77.25" thickBot="1" x14ac:dyDescent="0.3">
      <c r="A12" s="52" t="s">
        <v>47</v>
      </c>
      <c r="B12" s="58">
        <v>40</v>
      </c>
      <c r="C12" s="59">
        <v>351605</v>
      </c>
      <c r="D12" s="60" t="s">
        <v>15</v>
      </c>
      <c r="E12" s="60" t="s">
        <v>48</v>
      </c>
      <c r="F12" s="60" t="s">
        <v>16</v>
      </c>
      <c r="G12" s="60" t="s">
        <v>17</v>
      </c>
      <c r="H12" s="92" t="s">
        <v>49</v>
      </c>
      <c r="I12" s="119">
        <v>4278.2939400000005</v>
      </c>
      <c r="J12" s="88">
        <v>3500</v>
      </c>
      <c r="K12" s="70"/>
      <c r="L12" s="71"/>
      <c r="M12" s="70"/>
      <c r="N12" s="67">
        <f t="shared" si="0"/>
        <v>3500</v>
      </c>
      <c r="O12" s="69" t="s">
        <v>263</v>
      </c>
    </row>
    <row r="13" spans="1:15" ht="77.25" thickBot="1" x14ac:dyDescent="0.3">
      <c r="A13" s="52" t="s">
        <v>50</v>
      </c>
      <c r="B13" s="58">
        <v>40</v>
      </c>
      <c r="C13" s="59">
        <v>261205</v>
      </c>
      <c r="D13" s="60" t="s">
        <v>51</v>
      </c>
      <c r="E13" s="60" t="s">
        <v>52</v>
      </c>
      <c r="F13" s="60" t="s">
        <v>16</v>
      </c>
      <c r="G13" s="60" t="s">
        <v>17</v>
      </c>
      <c r="H13" s="92" t="s">
        <v>53</v>
      </c>
      <c r="I13" s="118">
        <v>4317.0823782979196</v>
      </c>
      <c r="J13" s="88"/>
      <c r="K13" s="70"/>
      <c r="L13" s="71"/>
      <c r="M13" s="70"/>
      <c r="N13" s="67">
        <f t="shared" si="0"/>
        <v>0</v>
      </c>
      <c r="O13" s="72"/>
    </row>
    <row r="14" spans="1:15" ht="77.25" thickBot="1" x14ac:dyDescent="0.3">
      <c r="A14" s="52" t="s">
        <v>54</v>
      </c>
      <c r="B14" s="58">
        <v>40</v>
      </c>
      <c r="C14" s="59">
        <v>261125</v>
      </c>
      <c r="D14" s="60" t="s">
        <v>51</v>
      </c>
      <c r="E14" s="60" t="s">
        <v>55</v>
      </c>
      <c r="F14" s="60" t="s">
        <v>20</v>
      </c>
      <c r="G14" s="60" t="s">
        <v>21</v>
      </c>
      <c r="H14" s="92" t="s">
        <v>56</v>
      </c>
      <c r="I14" s="118">
        <v>5450.1268685001596</v>
      </c>
      <c r="J14" s="88"/>
      <c r="K14" s="70"/>
      <c r="L14" s="71"/>
      <c r="M14" s="70"/>
      <c r="N14" s="67">
        <f t="shared" si="0"/>
        <v>0</v>
      </c>
      <c r="O14" s="72"/>
    </row>
    <row r="15" spans="1:15" ht="90" thickBot="1" x14ac:dyDescent="0.3">
      <c r="A15" s="52" t="s">
        <v>57</v>
      </c>
      <c r="B15" s="58">
        <v>40</v>
      </c>
      <c r="C15" s="59">
        <v>239410</v>
      </c>
      <c r="D15" s="60" t="s">
        <v>51</v>
      </c>
      <c r="E15" s="60" t="s">
        <v>55</v>
      </c>
      <c r="F15" s="60" t="s">
        <v>20</v>
      </c>
      <c r="G15" s="60" t="s">
        <v>21</v>
      </c>
      <c r="H15" s="92" t="s">
        <v>58</v>
      </c>
      <c r="I15" s="118">
        <v>5450.13</v>
      </c>
      <c r="J15" s="88"/>
      <c r="K15" s="70"/>
      <c r="L15" s="71"/>
      <c r="M15" s="70"/>
      <c r="N15" s="67">
        <f t="shared" si="0"/>
        <v>0</v>
      </c>
      <c r="O15" s="72"/>
    </row>
    <row r="16" spans="1:15" ht="90" thickBot="1" x14ac:dyDescent="0.3">
      <c r="A16" s="52" t="s">
        <v>59</v>
      </c>
      <c r="B16" s="58">
        <v>40</v>
      </c>
      <c r="C16" s="59">
        <v>261805</v>
      </c>
      <c r="D16" s="60" t="s">
        <v>60</v>
      </c>
      <c r="E16" s="60" t="s">
        <v>61</v>
      </c>
      <c r="F16" s="60" t="s">
        <v>20</v>
      </c>
      <c r="G16" s="60" t="s">
        <v>21</v>
      </c>
      <c r="H16" s="92" t="s">
        <v>62</v>
      </c>
      <c r="I16" s="119">
        <v>6207.1564731791996</v>
      </c>
      <c r="J16" s="88"/>
      <c r="K16" s="70"/>
      <c r="L16" s="71"/>
      <c r="M16" s="70"/>
      <c r="N16" s="67">
        <f t="shared" si="0"/>
        <v>0</v>
      </c>
      <c r="O16" s="74"/>
    </row>
    <row r="17" spans="1:15" ht="39" thickBot="1" x14ac:dyDescent="0.3">
      <c r="A17" s="52" t="s">
        <v>63</v>
      </c>
      <c r="B17" s="58">
        <v>40</v>
      </c>
      <c r="C17" s="59">
        <v>262410</v>
      </c>
      <c r="D17" s="60" t="s">
        <v>26</v>
      </c>
      <c r="E17" s="60"/>
      <c r="F17" s="60" t="s">
        <v>20</v>
      </c>
      <c r="G17" s="60" t="s">
        <v>21</v>
      </c>
      <c r="H17" s="92" t="s">
        <v>64</v>
      </c>
      <c r="I17" s="119">
        <v>7509.4989830291206</v>
      </c>
      <c r="J17" s="88"/>
      <c r="K17" s="70"/>
      <c r="L17" s="71"/>
      <c r="M17" s="70"/>
      <c r="N17" s="67">
        <f t="shared" si="0"/>
        <v>0</v>
      </c>
      <c r="O17" s="72"/>
    </row>
    <row r="18" spans="1:15" ht="39" thickBot="1" x14ac:dyDescent="0.3">
      <c r="A18" s="52" t="s">
        <v>65</v>
      </c>
      <c r="B18" s="58">
        <v>40</v>
      </c>
      <c r="C18" s="59">
        <v>262410</v>
      </c>
      <c r="D18" s="60" t="s">
        <v>26</v>
      </c>
      <c r="E18" s="60" t="s">
        <v>55</v>
      </c>
      <c r="F18" s="60" t="s">
        <v>36</v>
      </c>
      <c r="G18" s="60" t="s">
        <v>37</v>
      </c>
      <c r="H18" s="92" t="s">
        <v>64</v>
      </c>
      <c r="I18" s="119">
        <v>8208.7108768649596</v>
      </c>
      <c r="J18" s="88"/>
      <c r="K18" s="70"/>
      <c r="L18" s="71"/>
      <c r="M18" s="70"/>
      <c r="N18" s="67">
        <f t="shared" si="0"/>
        <v>0</v>
      </c>
      <c r="O18" s="72"/>
    </row>
    <row r="19" spans="1:15" ht="77.25" thickBot="1" x14ac:dyDescent="0.3">
      <c r="A19" s="52" t="s">
        <v>66</v>
      </c>
      <c r="B19" s="58">
        <v>40</v>
      </c>
      <c r="C19" s="59">
        <v>261120</v>
      </c>
      <c r="D19" s="60" t="s">
        <v>26</v>
      </c>
      <c r="E19" s="60" t="s">
        <v>55</v>
      </c>
      <c r="F19" s="60" t="s">
        <v>36</v>
      </c>
      <c r="G19" s="60" t="s">
        <v>37</v>
      </c>
      <c r="H19" s="92" t="s">
        <v>67</v>
      </c>
      <c r="I19" s="119">
        <v>10442.711883887359</v>
      </c>
      <c r="J19" s="88"/>
      <c r="K19" s="70"/>
      <c r="L19" s="71"/>
      <c r="M19" s="70"/>
      <c r="N19" s="67">
        <f t="shared" si="0"/>
        <v>0</v>
      </c>
      <c r="O19" s="72"/>
    </row>
    <row r="20" spans="1:15" ht="115.5" thickBot="1" x14ac:dyDescent="0.3">
      <c r="A20" s="52" t="s">
        <v>68</v>
      </c>
      <c r="B20" s="58">
        <v>40</v>
      </c>
      <c r="C20" s="59">
        <v>214915</v>
      </c>
      <c r="D20" s="60" t="s">
        <v>26</v>
      </c>
      <c r="E20" s="60" t="s">
        <v>69</v>
      </c>
      <c r="F20" s="60" t="s">
        <v>16</v>
      </c>
      <c r="G20" s="60" t="s">
        <v>17</v>
      </c>
      <c r="H20" s="92" t="s">
        <v>70</v>
      </c>
      <c r="I20" s="119">
        <v>10401.213333333333</v>
      </c>
      <c r="J20" s="88">
        <v>12500</v>
      </c>
      <c r="K20" s="70"/>
      <c r="L20" s="71"/>
      <c r="M20" s="70"/>
      <c r="N20" s="67">
        <f t="shared" si="0"/>
        <v>12500</v>
      </c>
      <c r="O20" s="69" t="s">
        <v>264</v>
      </c>
    </row>
    <row r="21" spans="1:15" ht="102.75" thickBot="1" x14ac:dyDescent="0.3">
      <c r="A21" s="52" t="s">
        <v>71</v>
      </c>
      <c r="B21" s="58">
        <v>40</v>
      </c>
      <c r="C21" s="59">
        <v>818110</v>
      </c>
      <c r="D21" s="60" t="s">
        <v>15</v>
      </c>
      <c r="E21" s="60" t="s">
        <v>72</v>
      </c>
      <c r="F21" s="60" t="s">
        <v>20</v>
      </c>
      <c r="G21" s="60" t="s">
        <v>21</v>
      </c>
      <c r="H21" s="92" t="s">
        <v>73</v>
      </c>
      <c r="I21" s="118">
        <v>2340.6941919999999</v>
      </c>
      <c r="J21" s="88"/>
      <c r="K21" s="70"/>
      <c r="L21" s="71"/>
      <c r="M21" s="70"/>
      <c r="N21" s="67">
        <f t="shared" si="0"/>
        <v>0</v>
      </c>
      <c r="O21" s="74"/>
    </row>
    <row r="22" spans="1:15" ht="102.75" thickBot="1" x14ac:dyDescent="0.3">
      <c r="A22" s="52" t="s">
        <v>74</v>
      </c>
      <c r="B22" s="58">
        <v>40</v>
      </c>
      <c r="C22" s="59">
        <v>311105</v>
      </c>
      <c r="D22" s="60" t="s">
        <v>15</v>
      </c>
      <c r="E22" s="60" t="s">
        <v>75</v>
      </c>
      <c r="F22" s="60" t="s">
        <v>20</v>
      </c>
      <c r="G22" s="60" t="s">
        <v>21</v>
      </c>
      <c r="H22" s="92" t="s">
        <v>76</v>
      </c>
      <c r="I22" s="118">
        <v>3604.8115582617602</v>
      </c>
      <c r="J22" s="88">
        <v>1750</v>
      </c>
      <c r="K22" s="70"/>
      <c r="L22" s="71"/>
      <c r="M22" s="70"/>
      <c r="N22" s="67">
        <f t="shared" si="0"/>
        <v>1750</v>
      </c>
      <c r="O22" s="69" t="s">
        <v>265</v>
      </c>
    </row>
    <row r="23" spans="1:15" ht="115.5" thickBot="1" x14ac:dyDescent="0.3">
      <c r="A23" s="52" t="s">
        <v>77</v>
      </c>
      <c r="B23" s="58">
        <v>20</v>
      </c>
      <c r="C23" s="59">
        <v>324130</v>
      </c>
      <c r="D23" s="60" t="s">
        <v>15</v>
      </c>
      <c r="E23" s="60" t="s">
        <v>78</v>
      </c>
      <c r="F23" s="60" t="s">
        <v>27</v>
      </c>
      <c r="G23" s="60" t="s">
        <v>28</v>
      </c>
      <c r="H23" s="92" t="s">
        <v>79</v>
      </c>
      <c r="I23" s="119">
        <v>1830.6685714285716</v>
      </c>
      <c r="J23" s="88"/>
      <c r="K23" s="70"/>
      <c r="L23" s="71"/>
      <c r="M23" s="70"/>
      <c r="N23" s="67">
        <f t="shared" si="0"/>
        <v>0</v>
      </c>
      <c r="O23" s="72"/>
    </row>
    <row r="24" spans="1:15" ht="64.5" thickBot="1" x14ac:dyDescent="0.3">
      <c r="A24" s="52" t="s">
        <v>81</v>
      </c>
      <c r="B24" s="58">
        <v>40</v>
      </c>
      <c r="C24" s="59">
        <v>322205</v>
      </c>
      <c r="D24" s="60" t="s">
        <v>82</v>
      </c>
      <c r="E24" s="60" t="s">
        <v>83</v>
      </c>
      <c r="F24" s="60" t="s">
        <v>27</v>
      </c>
      <c r="G24" s="60" t="s">
        <v>28</v>
      </c>
      <c r="H24" s="92" t="s">
        <v>84</v>
      </c>
      <c r="I24" s="118">
        <v>3604.8115582617602</v>
      </c>
      <c r="J24" s="88">
        <v>2250</v>
      </c>
      <c r="K24" s="70"/>
      <c r="L24" s="71"/>
      <c r="M24" s="70"/>
      <c r="N24" s="67">
        <f t="shared" si="0"/>
        <v>2250</v>
      </c>
      <c r="O24" s="69" t="s">
        <v>262</v>
      </c>
    </row>
    <row r="25" spans="1:15" ht="64.5" thickBot="1" x14ac:dyDescent="0.3">
      <c r="A25" s="52" t="s">
        <v>85</v>
      </c>
      <c r="B25" s="58">
        <v>40</v>
      </c>
      <c r="C25" s="59">
        <v>322205</v>
      </c>
      <c r="D25" s="60" t="s">
        <v>86</v>
      </c>
      <c r="E25" s="60" t="s">
        <v>83</v>
      </c>
      <c r="F25" s="60" t="s">
        <v>20</v>
      </c>
      <c r="G25" s="60" t="s">
        <v>21</v>
      </c>
      <c r="H25" s="92" t="s">
        <v>84</v>
      </c>
      <c r="I25" s="118">
        <v>3604.8115582617602</v>
      </c>
      <c r="J25" s="88">
        <v>2750</v>
      </c>
      <c r="K25" s="70"/>
      <c r="L25" s="71"/>
      <c r="M25" s="70"/>
      <c r="N25" s="67">
        <f t="shared" si="0"/>
        <v>2750</v>
      </c>
      <c r="O25" s="69" t="s">
        <v>262</v>
      </c>
    </row>
    <row r="26" spans="1:15" ht="64.5" thickBot="1" x14ac:dyDescent="0.3">
      <c r="A26" s="52" t="s">
        <v>88</v>
      </c>
      <c r="B26" s="58">
        <v>40</v>
      </c>
      <c r="C26" s="59">
        <v>325115</v>
      </c>
      <c r="D26" s="60" t="s">
        <v>86</v>
      </c>
      <c r="E26" s="60"/>
      <c r="F26" s="60" t="s">
        <v>20</v>
      </c>
      <c r="G26" s="60" t="s">
        <v>21</v>
      </c>
      <c r="H26" s="92" t="s">
        <v>89</v>
      </c>
      <c r="I26" s="118">
        <v>3604.8115582617602</v>
      </c>
      <c r="J26" s="88"/>
      <c r="K26" s="70"/>
      <c r="L26" s="71"/>
      <c r="M26" s="70"/>
      <c r="N26" s="67">
        <f t="shared" si="0"/>
        <v>0</v>
      </c>
      <c r="O26" s="72"/>
    </row>
    <row r="27" spans="1:15" ht="115.5" thickBot="1" x14ac:dyDescent="0.3">
      <c r="A27" s="52" t="s">
        <v>90</v>
      </c>
      <c r="B27" s="58">
        <v>30</v>
      </c>
      <c r="C27" s="59">
        <v>223605</v>
      </c>
      <c r="D27" s="60" t="s">
        <v>51</v>
      </c>
      <c r="E27" s="60" t="s">
        <v>91</v>
      </c>
      <c r="F27" s="60" t="s">
        <v>20</v>
      </c>
      <c r="G27" s="60" t="s">
        <v>21</v>
      </c>
      <c r="H27" s="92" t="s">
        <v>92</v>
      </c>
      <c r="I27" s="118">
        <v>4317.0823782979196</v>
      </c>
      <c r="J27" s="88">
        <v>3750</v>
      </c>
      <c r="K27" s="70"/>
      <c r="L27" s="71"/>
      <c r="M27" s="70"/>
      <c r="N27" s="67">
        <f t="shared" si="0"/>
        <v>3750</v>
      </c>
      <c r="O27" s="69" t="s">
        <v>263</v>
      </c>
    </row>
    <row r="28" spans="1:15" ht="102.75" thickBot="1" x14ac:dyDescent="0.3">
      <c r="A28" s="52" t="s">
        <v>93</v>
      </c>
      <c r="B28" s="58">
        <v>40</v>
      </c>
      <c r="C28" s="59">
        <v>223710</v>
      </c>
      <c r="D28" s="60" t="s">
        <v>51</v>
      </c>
      <c r="E28" s="60" t="s">
        <v>94</v>
      </c>
      <c r="F28" s="60" t="s">
        <v>20</v>
      </c>
      <c r="G28" s="60" t="s">
        <v>21</v>
      </c>
      <c r="H28" s="92" t="s">
        <v>95</v>
      </c>
      <c r="I28" s="118">
        <v>4317.0823782979196</v>
      </c>
      <c r="J28" s="88"/>
      <c r="K28" s="70"/>
      <c r="L28" s="71"/>
      <c r="M28" s="70"/>
      <c r="N28" s="67">
        <f t="shared" si="0"/>
        <v>0</v>
      </c>
      <c r="O28" s="72"/>
    </row>
    <row r="29" spans="1:15" ht="77.25" thickBot="1" x14ac:dyDescent="0.3">
      <c r="A29" s="52" t="s">
        <v>96</v>
      </c>
      <c r="B29" s="58">
        <v>40</v>
      </c>
      <c r="C29" s="59">
        <v>223405</v>
      </c>
      <c r="D29" s="60" t="s">
        <v>51</v>
      </c>
      <c r="E29" s="60" t="s">
        <v>97</v>
      </c>
      <c r="F29" s="60" t="s">
        <v>20</v>
      </c>
      <c r="G29" s="60" t="s">
        <v>21</v>
      </c>
      <c r="H29" s="92" t="s">
        <v>98</v>
      </c>
      <c r="I29" s="118">
        <v>5450.1303359999993</v>
      </c>
      <c r="J29" s="88">
        <v>3750</v>
      </c>
      <c r="K29" s="70"/>
      <c r="L29" s="71"/>
      <c r="M29" s="70"/>
      <c r="N29" s="67">
        <f t="shared" si="0"/>
        <v>3750</v>
      </c>
      <c r="O29" s="69" t="s">
        <v>263</v>
      </c>
    </row>
    <row r="30" spans="1:15" ht="77.25" thickBot="1" x14ac:dyDescent="0.3">
      <c r="A30" s="52" t="s">
        <v>99</v>
      </c>
      <c r="B30" s="58">
        <v>40</v>
      </c>
      <c r="C30" s="59">
        <v>223405</v>
      </c>
      <c r="D30" s="60" t="s">
        <v>51</v>
      </c>
      <c r="E30" s="60" t="s">
        <v>100</v>
      </c>
      <c r="F30" s="60" t="s">
        <v>36</v>
      </c>
      <c r="G30" s="60" t="s">
        <v>37</v>
      </c>
      <c r="H30" s="92" t="s">
        <v>101</v>
      </c>
      <c r="I30" s="119">
        <v>6022.82</v>
      </c>
      <c r="J30" s="88">
        <f>(4000+3750)/2</f>
        <v>3875</v>
      </c>
      <c r="K30" s="70"/>
      <c r="L30" s="71"/>
      <c r="M30" s="70"/>
      <c r="N30" s="67">
        <f t="shared" si="0"/>
        <v>3875</v>
      </c>
      <c r="O30" s="69" t="s">
        <v>263</v>
      </c>
    </row>
    <row r="31" spans="1:15" ht="51.75" thickBot="1" x14ac:dyDescent="0.3">
      <c r="A31" s="52" t="s">
        <v>103</v>
      </c>
      <c r="B31" s="58">
        <v>40</v>
      </c>
      <c r="C31" s="59">
        <v>221105</v>
      </c>
      <c r="D31" s="60" t="s">
        <v>51</v>
      </c>
      <c r="E31" s="60" t="s">
        <v>104</v>
      </c>
      <c r="F31" s="60" t="s">
        <v>20</v>
      </c>
      <c r="G31" s="60" t="s">
        <v>21</v>
      </c>
      <c r="H31" s="92" t="s">
        <v>105</v>
      </c>
      <c r="I31" s="119">
        <v>5450.1303359999993</v>
      </c>
      <c r="J31" s="88"/>
      <c r="K31" s="70"/>
      <c r="L31" s="71"/>
      <c r="M31" s="70"/>
      <c r="N31" s="67">
        <f t="shared" si="0"/>
        <v>0</v>
      </c>
      <c r="O31" s="72"/>
    </row>
    <row r="32" spans="1:15" ht="51.75" thickBot="1" x14ac:dyDescent="0.3">
      <c r="A32" s="52" t="s">
        <v>106</v>
      </c>
      <c r="B32" s="58">
        <v>40</v>
      </c>
      <c r="C32" s="59">
        <v>223810</v>
      </c>
      <c r="D32" s="60" t="s">
        <v>51</v>
      </c>
      <c r="E32" s="60" t="s">
        <v>104</v>
      </c>
      <c r="F32" s="60" t="s">
        <v>20</v>
      </c>
      <c r="G32" s="60" t="s">
        <v>21</v>
      </c>
      <c r="H32" s="92" t="s">
        <v>107</v>
      </c>
      <c r="I32" s="119">
        <v>5450.1268685001596</v>
      </c>
      <c r="J32" s="88"/>
      <c r="K32" s="70"/>
      <c r="L32" s="71"/>
      <c r="M32" s="70"/>
      <c r="N32" s="67">
        <f t="shared" si="0"/>
        <v>0</v>
      </c>
      <c r="O32" s="72"/>
    </row>
    <row r="33" spans="1:15" ht="72" customHeight="1" thickBot="1" x14ac:dyDescent="0.3">
      <c r="A33" s="52" t="s">
        <v>108</v>
      </c>
      <c r="B33" s="58">
        <v>40</v>
      </c>
      <c r="C33" s="59">
        <v>213205</v>
      </c>
      <c r="D33" s="60" t="s">
        <v>51</v>
      </c>
      <c r="E33" s="60" t="s">
        <v>104</v>
      </c>
      <c r="F33" s="60" t="s">
        <v>20</v>
      </c>
      <c r="G33" s="60" t="s">
        <v>21</v>
      </c>
      <c r="H33" s="92" t="s">
        <v>109</v>
      </c>
      <c r="I33" s="119">
        <v>5450.1268685001596</v>
      </c>
      <c r="J33" s="88"/>
      <c r="K33" s="70"/>
      <c r="L33" s="71"/>
      <c r="M33" s="70"/>
      <c r="N33" s="67">
        <f t="shared" si="0"/>
        <v>0</v>
      </c>
      <c r="O33" s="72"/>
    </row>
    <row r="34" spans="1:15" ht="64.5" thickBot="1" x14ac:dyDescent="0.3">
      <c r="A34" s="52" t="s">
        <v>110</v>
      </c>
      <c r="B34" s="58">
        <v>40</v>
      </c>
      <c r="C34" s="59">
        <v>223505</v>
      </c>
      <c r="D34" s="60" t="s">
        <v>51</v>
      </c>
      <c r="E34" s="60" t="s">
        <v>111</v>
      </c>
      <c r="F34" s="60" t="s">
        <v>16</v>
      </c>
      <c r="G34" s="60" t="s">
        <v>17</v>
      </c>
      <c r="H34" s="92" t="s">
        <v>112</v>
      </c>
      <c r="I34" s="122">
        <v>6022.8171519999996</v>
      </c>
      <c r="J34" s="88">
        <v>4500</v>
      </c>
      <c r="K34" s="70"/>
      <c r="L34" s="71"/>
      <c r="M34" s="70"/>
      <c r="N34" s="67">
        <f t="shared" si="0"/>
        <v>4500</v>
      </c>
      <c r="O34" s="69" t="s">
        <v>266</v>
      </c>
    </row>
    <row r="35" spans="1:15" ht="64.5" thickBot="1" x14ac:dyDescent="0.3">
      <c r="A35" s="52" t="s">
        <v>113</v>
      </c>
      <c r="B35" s="58">
        <v>40</v>
      </c>
      <c r="C35" s="59">
        <v>223505</v>
      </c>
      <c r="D35" s="60" t="s">
        <v>51</v>
      </c>
      <c r="E35" s="60" t="s">
        <v>114</v>
      </c>
      <c r="F35" s="60" t="s">
        <v>36</v>
      </c>
      <c r="G35" s="60" t="s">
        <v>37</v>
      </c>
      <c r="H35" s="92" t="s">
        <v>112</v>
      </c>
      <c r="I35" s="119">
        <v>6022.8171519999996</v>
      </c>
      <c r="J35" s="88">
        <f>(5000+4750)/2</f>
        <v>4875</v>
      </c>
      <c r="K35" s="70"/>
      <c r="L35" s="71"/>
      <c r="M35" s="70"/>
      <c r="N35" s="67">
        <f t="shared" si="0"/>
        <v>4875</v>
      </c>
      <c r="O35" s="69" t="s">
        <v>266</v>
      </c>
    </row>
    <row r="36" spans="1:15" ht="77.25" thickBot="1" x14ac:dyDescent="0.3">
      <c r="A36" s="53" t="s">
        <v>115</v>
      </c>
      <c r="B36" s="61">
        <v>20</v>
      </c>
      <c r="C36" s="62">
        <v>225125</v>
      </c>
      <c r="D36" s="63" t="s">
        <v>51</v>
      </c>
      <c r="E36" s="63" t="s">
        <v>116</v>
      </c>
      <c r="F36" s="63" t="s">
        <v>36</v>
      </c>
      <c r="G36" s="63" t="s">
        <v>37</v>
      </c>
      <c r="H36" s="94" t="s">
        <v>107</v>
      </c>
      <c r="I36" s="120">
        <v>7509.5</v>
      </c>
      <c r="J36" s="89"/>
      <c r="K36" s="75"/>
      <c r="L36" s="76"/>
      <c r="M36" s="75"/>
      <c r="N36" s="67">
        <f t="shared" si="0"/>
        <v>0</v>
      </c>
      <c r="O36" s="77"/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6"/>
  <sheetViews>
    <sheetView zoomScale="80" zoomScaleNormal="80" workbookViewId="0">
      <pane ySplit="1" topLeftCell="A2" activePane="bottomLeft" state="frozen"/>
      <selection activeCell="C31" sqref="C31"/>
      <selection pane="bottomLeft" activeCell="E47" sqref="E47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69.42578125" style="6" customWidth="1"/>
    <col min="9" max="9" width="14.140625" style="123" customWidth="1"/>
    <col min="10" max="11" width="11.85546875" style="7" customWidth="1"/>
    <col min="12" max="12" width="11.85546875" style="8" customWidth="1"/>
    <col min="13" max="13" width="11.140625" style="7" customWidth="1"/>
    <col min="14" max="14" width="12.28515625" style="7" customWidth="1"/>
    <col min="15" max="15" width="21.7109375" customWidth="1"/>
    <col min="16" max="16" width="9.7109375" style="22" customWidth="1"/>
    <col min="17" max="17" width="7.7109375" style="22" bestFit="1" customWidth="1"/>
    <col min="18" max="18" width="16.42578125" style="22" customWidth="1"/>
    <col min="19" max="19" width="36.42578125" style="22" bestFit="1" customWidth="1"/>
    <col min="20" max="20" width="10.5703125" style="22" customWidth="1"/>
    <col min="21" max="21" width="9" style="22" customWidth="1"/>
    <col min="22" max="22" width="57.5703125" style="22" customWidth="1"/>
    <col min="23" max="23" width="38" style="7" bestFit="1" customWidth="1"/>
  </cols>
  <sheetData>
    <row r="1" spans="1:23" ht="64.5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2" t="s">
        <v>261</v>
      </c>
      <c r="L1" s="33" t="s">
        <v>267</v>
      </c>
      <c r="M1" s="32" t="s">
        <v>11</v>
      </c>
      <c r="N1" s="32" t="s">
        <v>12</v>
      </c>
      <c r="O1" s="34" t="s">
        <v>268</v>
      </c>
      <c r="P1" s="34" t="s">
        <v>1</v>
      </c>
      <c r="Q1" s="34" t="s">
        <v>2</v>
      </c>
      <c r="R1" s="34" t="s">
        <v>3</v>
      </c>
      <c r="S1" s="34" t="s">
        <v>269</v>
      </c>
      <c r="T1" s="35" t="s">
        <v>5</v>
      </c>
      <c r="U1" s="34" t="s">
        <v>6</v>
      </c>
      <c r="V1" s="34" t="s">
        <v>270</v>
      </c>
      <c r="W1" s="36" t="s">
        <v>13</v>
      </c>
    </row>
    <row r="2" spans="1:23" ht="63.75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/>
      <c r="K2" s="27"/>
      <c r="L2" s="28">
        <v>40</v>
      </c>
      <c r="M2" s="27">
        <f>J2/L2</f>
        <v>0</v>
      </c>
      <c r="N2" s="27">
        <f>M2*B2</f>
        <v>0</v>
      </c>
      <c r="O2" s="29"/>
      <c r="P2" s="112"/>
      <c r="Q2" s="112"/>
      <c r="R2" s="112"/>
      <c r="S2" s="112"/>
      <c r="T2" s="112"/>
      <c r="U2" s="112"/>
      <c r="V2" s="112"/>
      <c r="W2" s="40"/>
    </row>
    <row r="3" spans="1:23" ht="63.7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/>
      <c r="K3" s="27"/>
      <c r="L3" s="28">
        <v>40</v>
      </c>
      <c r="M3" s="30">
        <f>J3/L3</f>
        <v>0</v>
      </c>
      <c r="N3" s="27">
        <f t="shared" ref="N3:N36" si="0">M3*B3</f>
        <v>0</v>
      </c>
      <c r="O3" s="29"/>
      <c r="P3" s="112"/>
      <c r="Q3" s="112"/>
      <c r="R3" s="112"/>
      <c r="S3" s="112"/>
      <c r="T3" s="112"/>
      <c r="U3" s="112"/>
      <c r="V3" s="112"/>
      <c r="W3" s="38"/>
    </row>
    <row r="4" spans="1:23" ht="76.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/>
      <c r="K4" s="27"/>
      <c r="L4" s="28">
        <v>40</v>
      </c>
      <c r="M4" s="27">
        <f t="shared" ref="M4:M36" si="1">J4/L4</f>
        <v>0</v>
      </c>
      <c r="N4" s="27">
        <f t="shared" si="0"/>
        <v>0</v>
      </c>
      <c r="O4" s="29"/>
      <c r="P4" s="112"/>
      <c r="Q4" s="112"/>
      <c r="R4" s="112"/>
      <c r="S4" s="112"/>
      <c r="T4" s="112"/>
      <c r="U4" s="112"/>
      <c r="V4" s="112"/>
      <c r="W4" s="38"/>
    </row>
    <row r="5" spans="1:23" ht="89.2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/>
      <c r="K5" s="27"/>
      <c r="L5" s="28">
        <v>40</v>
      </c>
      <c r="M5" s="27">
        <f t="shared" si="1"/>
        <v>0</v>
      </c>
      <c r="N5" s="27">
        <f t="shared" si="0"/>
        <v>0</v>
      </c>
      <c r="O5" s="29"/>
      <c r="P5" s="112"/>
      <c r="Q5" s="112"/>
      <c r="R5" s="112"/>
      <c r="S5" s="112"/>
      <c r="T5" s="112"/>
      <c r="U5" s="112"/>
      <c r="V5" s="112"/>
      <c r="W5" s="39"/>
    </row>
    <row r="6" spans="1:23" ht="89.25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/>
      <c r="K6" s="27"/>
      <c r="L6" s="28">
        <v>40</v>
      </c>
      <c r="M6" s="27">
        <f t="shared" si="1"/>
        <v>0</v>
      </c>
      <c r="N6" s="27">
        <f t="shared" si="0"/>
        <v>0</v>
      </c>
      <c r="O6" s="29"/>
      <c r="P6" s="112"/>
      <c r="Q6" s="112"/>
      <c r="R6" s="112"/>
      <c r="S6" s="112"/>
      <c r="T6" s="112"/>
      <c r="U6" s="112"/>
      <c r="V6" s="112"/>
      <c r="W6" s="38"/>
    </row>
    <row r="7" spans="1:23" ht="127.5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/>
      <c r="K7" s="27"/>
      <c r="L7" s="28">
        <v>40</v>
      </c>
      <c r="M7" s="27">
        <f t="shared" si="1"/>
        <v>0</v>
      </c>
      <c r="N7" s="27">
        <f t="shared" si="0"/>
        <v>0</v>
      </c>
      <c r="O7" s="29"/>
      <c r="P7" s="112"/>
      <c r="Q7" s="112"/>
      <c r="R7" s="112"/>
      <c r="S7" s="112"/>
      <c r="T7" s="112"/>
      <c r="U7" s="112"/>
      <c r="V7" s="112"/>
      <c r="W7" s="38"/>
    </row>
    <row r="8" spans="1:23" ht="127.5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8">
        <v>5837.4998235769608</v>
      </c>
      <c r="J8" s="37"/>
      <c r="K8" s="27"/>
      <c r="L8" s="28">
        <v>40</v>
      </c>
      <c r="M8" s="27">
        <f t="shared" si="1"/>
        <v>0</v>
      </c>
      <c r="N8" s="27">
        <f t="shared" si="0"/>
        <v>0</v>
      </c>
      <c r="O8" s="29"/>
      <c r="P8" s="112"/>
      <c r="Q8" s="112"/>
      <c r="R8" s="112"/>
      <c r="S8" s="112"/>
      <c r="T8" s="112"/>
      <c r="U8" s="112"/>
      <c r="V8" s="112"/>
      <c r="W8" s="38"/>
    </row>
    <row r="9" spans="1:23" ht="409.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>
        <v>4062.58</v>
      </c>
      <c r="K9" s="27"/>
      <c r="L9" s="28"/>
      <c r="M9" s="27"/>
      <c r="N9" s="27"/>
      <c r="O9" s="112" t="s">
        <v>271</v>
      </c>
      <c r="P9" s="112">
        <v>30</v>
      </c>
      <c r="Q9" s="112">
        <v>373105</v>
      </c>
      <c r="R9" s="112" t="s">
        <v>272</v>
      </c>
      <c r="S9" s="112"/>
      <c r="T9" s="112" t="s">
        <v>273</v>
      </c>
      <c r="U9" s="112" t="s">
        <v>28</v>
      </c>
      <c r="V9" s="112" t="s">
        <v>274</v>
      </c>
      <c r="W9" s="112" t="s">
        <v>275</v>
      </c>
    </row>
    <row r="10" spans="1:23" ht="409.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>
        <v>4062.58</v>
      </c>
      <c r="K10" s="27"/>
      <c r="L10" s="28">
        <v>40</v>
      </c>
      <c r="M10" s="27">
        <f t="shared" si="1"/>
        <v>101.5645</v>
      </c>
      <c r="N10" s="27">
        <f t="shared" si="0"/>
        <v>4062.58</v>
      </c>
      <c r="O10" s="112" t="s">
        <v>271</v>
      </c>
      <c r="P10" s="112">
        <v>30</v>
      </c>
      <c r="Q10" s="112">
        <v>373105</v>
      </c>
      <c r="R10" s="112" t="s">
        <v>272</v>
      </c>
      <c r="S10" s="112"/>
      <c r="T10" s="112" t="s">
        <v>273</v>
      </c>
      <c r="U10" s="112" t="s">
        <v>28</v>
      </c>
      <c r="V10" s="112" t="s">
        <v>274</v>
      </c>
      <c r="W10" s="112" t="s">
        <v>275</v>
      </c>
    </row>
    <row r="11" spans="1:23" ht="89.2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7"/>
      <c r="L11" s="28">
        <v>40</v>
      </c>
      <c r="M11" s="27">
        <f t="shared" si="1"/>
        <v>0</v>
      </c>
      <c r="N11" s="27">
        <f t="shared" si="0"/>
        <v>0</v>
      </c>
      <c r="O11" s="29"/>
      <c r="P11" s="112"/>
      <c r="Q11" s="112"/>
      <c r="R11" s="112"/>
      <c r="S11" s="112"/>
      <c r="T11" s="112"/>
      <c r="U11" s="112"/>
      <c r="V11" s="112"/>
      <c r="W11" s="38"/>
    </row>
    <row r="12" spans="1:23" ht="89.25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7"/>
      <c r="L12" s="28">
        <v>40</v>
      </c>
      <c r="M12" s="27">
        <f>J12/L12</f>
        <v>0</v>
      </c>
      <c r="N12" s="27">
        <f t="shared" si="0"/>
        <v>0</v>
      </c>
      <c r="O12" s="29"/>
      <c r="P12" s="112"/>
      <c r="Q12" s="112"/>
      <c r="R12" s="112"/>
      <c r="S12" s="112"/>
      <c r="T12" s="112"/>
      <c r="U12" s="112"/>
      <c r="V12" s="112"/>
      <c r="W12" s="38"/>
    </row>
    <row r="13" spans="1:23" ht="76.5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7"/>
      <c r="L13" s="28">
        <v>40</v>
      </c>
      <c r="M13" s="27">
        <f t="shared" si="1"/>
        <v>0</v>
      </c>
      <c r="N13" s="27">
        <f t="shared" si="0"/>
        <v>0</v>
      </c>
      <c r="O13" s="29"/>
      <c r="P13" s="112"/>
      <c r="Q13" s="112"/>
      <c r="R13" s="112"/>
      <c r="S13" s="112"/>
      <c r="T13" s="112"/>
      <c r="U13" s="112"/>
      <c r="V13" s="112"/>
      <c r="W13" s="38"/>
    </row>
    <row r="14" spans="1:23" ht="76.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/>
      <c r="K14" s="27"/>
      <c r="L14" s="28">
        <v>40</v>
      </c>
      <c r="M14" s="27">
        <f t="shared" si="1"/>
        <v>0</v>
      </c>
      <c r="N14" s="27">
        <f t="shared" si="0"/>
        <v>0</v>
      </c>
      <c r="O14" s="29"/>
      <c r="P14" s="112"/>
      <c r="Q14" s="112"/>
      <c r="R14" s="112"/>
      <c r="S14" s="112"/>
      <c r="T14" s="112"/>
      <c r="U14" s="112"/>
      <c r="V14" s="112"/>
      <c r="W14" s="38"/>
    </row>
    <row r="15" spans="1:23" ht="102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7"/>
      <c r="L15" s="28">
        <v>40</v>
      </c>
      <c r="M15" s="27">
        <f t="shared" si="1"/>
        <v>0</v>
      </c>
      <c r="N15" s="27">
        <f t="shared" si="0"/>
        <v>0</v>
      </c>
      <c r="O15" s="29"/>
      <c r="P15" s="112"/>
      <c r="Q15" s="112"/>
      <c r="R15" s="112"/>
      <c r="S15" s="112"/>
      <c r="T15" s="112"/>
      <c r="U15" s="112"/>
      <c r="V15" s="112"/>
      <c r="W15" s="38"/>
    </row>
    <row r="16" spans="1:23" ht="102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/>
      <c r="K16" s="27"/>
      <c r="L16" s="28">
        <v>40</v>
      </c>
      <c r="M16" s="27">
        <f t="shared" si="1"/>
        <v>0</v>
      </c>
      <c r="N16" s="27">
        <f t="shared" si="0"/>
        <v>0</v>
      </c>
      <c r="O16" s="29"/>
      <c r="P16" s="112"/>
      <c r="Q16" s="112"/>
      <c r="R16" s="112"/>
      <c r="S16" s="112"/>
      <c r="T16" s="112"/>
      <c r="U16" s="112"/>
      <c r="V16" s="112"/>
      <c r="W16" s="40"/>
    </row>
    <row r="17" spans="1:23" ht="56.25" customHeight="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7"/>
      <c r="L17" s="28"/>
      <c r="M17" s="27"/>
      <c r="N17" s="27"/>
      <c r="O17" s="124"/>
      <c r="P17" s="112"/>
      <c r="Q17" s="112"/>
      <c r="R17" s="112"/>
      <c r="S17" s="112"/>
      <c r="T17" s="131"/>
      <c r="U17" s="131"/>
      <c r="V17" s="112"/>
      <c r="W17" s="40"/>
    </row>
    <row r="18" spans="1:23" ht="59.25" customHeight="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7"/>
      <c r="L18" s="28"/>
      <c r="M18" s="27"/>
      <c r="N18" s="27"/>
      <c r="O18" s="124"/>
      <c r="P18" s="112"/>
      <c r="Q18" s="112"/>
      <c r="R18" s="112"/>
      <c r="S18" s="112"/>
      <c r="T18" s="131"/>
      <c r="U18" s="131"/>
      <c r="V18" s="112"/>
      <c r="W18" s="40"/>
    </row>
    <row r="19" spans="1:23" ht="89.2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7"/>
      <c r="L19" s="28">
        <v>40</v>
      </c>
      <c r="M19" s="27">
        <f t="shared" si="1"/>
        <v>0</v>
      </c>
      <c r="N19" s="27">
        <f t="shared" si="0"/>
        <v>0</v>
      </c>
      <c r="O19" s="29"/>
      <c r="P19" s="112"/>
      <c r="Q19" s="112"/>
      <c r="R19" s="112"/>
      <c r="S19" s="112"/>
      <c r="T19" s="112"/>
      <c r="U19" s="112"/>
      <c r="V19" s="112"/>
      <c r="W19" s="38"/>
    </row>
    <row r="20" spans="1:23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7"/>
      <c r="L20" s="28">
        <v>40</v>
      </c>
      <c r="M20" s="27">
        <f t="shared" si="1"/>
        <v>0</v>
      </c>
      <c r="N20" s="27">
        <f t="shared" si="0"/>
        <v>0</v>
      </c>
      <c r="O20" s="29"/>
      <c r="P20" s="112"/>
      <c r="Q20" s="112"/>
      <c r="R20" s="112"/>
      <c r="S20" s="112"/>
      <c r="T20" s="112"/>
      <c r="U20" s="112"/>
      <c r="V20" s="112"/>
      <c r="W20" s="38"/>
    </row>
    <row r="21" spans="1:23" ht="102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7"/>
      <c r="L21" s="28">
        <v>40</v>
      </c>
      <c r="M21" s="27">
        <f t="shared" si="1"/>
        <v>0</v>
      </c>
      <c r="N21" s="27">
        <f t="shared" si="0"/>
        <v>0</v>
      </c>
      <c r="O21" s="29"/>
      <c r="P21" s="112"/>
      <c r="Q21" s="112"/>
      <c r="R21" s="112"/>
      <c r="S21" s="112"/>
      <c r="T21" s="112"/>
      <c r="U21" s="112"/>
      <c r="V21" s="112"/>
      <c r="W21" s="40"/>
    </row>
    <row r="22" spans="1:23" ht="102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7"/>
      <c r="L22" s="28">
        <v>40</v>
      </c>
      <c r="M22" s="27">
        <f t="shared" si="1"/>
        <v>0</v>
      </c>
      <c r="N22" s="27">
        <f t="shared" si="0"/>
        <v>0</v>
      </c>
      <c r="O22" s="29"/>
      <c r="P22" s="112"/>
      <c r="Q22" s="112"/>
      <c r="R22" s="112"/>
      <c r="S22" s="112"/>
      <c r="T22" s="112"/>
      <c r="U22" s="112"/>
      <c r="V22" s="112"/>
      <c r="W22" s="40"/>
    </row>
    <row r="23" spans="1:23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7"/>
      <c r="L23" s="28">
        <v>40</v>
      </c>
      <c r="M23" s="27">
        <f t="shared" si="1"/>
        <v>0</v>
      </c>
      <c r="N23" s="27">
        <f t="shared" si="0"/>
        <v>0</v>
      </c>
      <c r="O23" s="29"/>
      <c r="P23" s="112"/>
      <c r="Q23" s="112"/>
      <c r="R23" s="112"/>
      <c r="S23" s="112"/>
      <c r="T23" s="112"/>
      <c r="U23" s="112"/>
      <c r="V23" s="112"/>
      <c r="W23" s="38"/>
    </row>
    <row r="24" spans="1:23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7"/>
      <c r="L24" s="28">
        <v>40</v>
      </c>
      <c r="M24" s="27">
        <f t="shared" si="1"/>
        <v>0</v>
      </c>
      <c r="N24" s="27">
        <f t="shared" si="0"/>
        <v>0</v>
      </c>
      <c r="O24" s="29"/>
      <c r="P24" s="112"/>
      <c r="Q24" s="112"/>
      <c r="R24" s="112"/>
      <c r="S24" s="112"/>
      <c r="T24" s="112"/>
      <c r="U24" s="112"/>
      <c r="V24" s="112"/>
      <c r="W24" s="38"/>
    </row>
    <row r="25" spans="1:23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7"/>
      <c r="L25" s="28">
        <v>40</v>
      </c>
      <c r="M25" s="27">
        <f t="shared" si="1"/>
        <v>0</v>
      </c>
      <c r="N25" s="27">
        <f t="shared" si="0"/>
        <v>0</v>
      </c>
      <c r="O25" s="29"/>
      <c r="P25" s="112"/>
      <c r="Q25" s="112"/>
      <c r="R25" s="112"/>
      <c r="S25" s="112"/>
      <c r="T25" s="112"/>
      <c r="U25" s="112"/>
      <c r="V25" s="112"/>
      <c r="W25" s="40"/>
    </row>
    <row r="26" spans="1:23" ht="76.5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7"/>
      <c r="L26" s="28">
        <v>40</v>
      </c>
      <c r="M26" s="27">
        <f>J26/L26</f>
        <v>0</v>
      </c>
      <c r="N26" s="27">
        <f>M26*B26</f>
        <v>0</v>
      </c>
      <c r="O26" s="29"/>
      <c r="P26" s="112"/>
      <c r="Q26" s="112"/>
      <c r="R26" s="112"/>
      <c r="S26" s="112"/>
      <c r="T26" s="112"/>
      <c r="U26" s="112"/>
      <c r="V26" s="112"/>
      <c r="W26" s="38"/>
    </row>
    <row r="27" spans="1:23" ht="114.75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7"/>
      <c r="L27" s="28">
        <v>40</v>
      </c>
      <c r="M27" s="27">
        <f t="shared" si="1"/>
        <v>0</v>
      </c>
      <c r="N27" s="27">
        <f t="shared" si="0"/>
        <v>0</v>
      </c>
      <c r="O27" s="29"/>
      <c r="P27" s="112"/>
      <c r="Q27" s="112"/>
      <c r="R27" s="112"/>
      <c r="S27" s="112"/>
      <c r="T27" s="112"/>
      <c r="U27" s="112"/>
      <c r="V27" s="112"/>
      <c r="W27" s="38"/>
    </row>
    <row r="28" spans="1:23" ht="102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7"/>
      <c r="L28" s="28">
        <v>40</v>
      </c>
      <c r="M28" s="27">
        <f t="shared" si="1"/>
        <v>0</v>
      </c>
      <c r="N28" s="27">
        <f t="shared" si="0"/>
        <v>0</v>
      </c>
      <c r="O28" s="29"/>
      <c r="P28" s="112"/>
      <c r="Q28" s="112"/>
      <c r="R28" s="112"/>
      <c r="S28" s="112"/>
      <c r="T28" s="112"/>
      <c r="U28" s="112"/>
      <c r="V28" s="112"/>
      <c r="W28" s="38"/>
    </row>
    <row r="29" spans="1:23" ht="89.25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7"/>
      <c r="L29" s="28">
        <v>40</v>
      </c>
      <c r="M29" s="27">
        <f t="shared" si="1"/>
        <v>0</v>
      </c>
      <c r="N29" s="27">
        <f t="shared" si="0"/>
        <v>0</v>
      </c>
      <c r="O29" s="29"/>
      <c r="P29" s="112"/>
      <c r="Q29" s="112"/>
      <c r="R29" s="112"/>
      <c r="S29" s="112"/>
      <c r="T29" s="112"/>
      <c r="U29" s="112"/>
      <c r="V29" s="112"/>
      <c r="W29" s="38"/>
    </row>
    <row r="30" spans="1:23" ht="76.5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7"/>
      <c r="L30" s="28">
        <v>40</v>
      </c>
      <c r="M30" s="27">
        <f t="shared" si="1"/>
        <v>0</v>
      </c>
      <c r="N30" s="27">
        <f t="shared" si="0"/>
        <v>0</v>
      </c>
      <c r="O30" s="29"/>
      <c r="P30" s="112"/>
      <c r="Q30" s="112"/>
      <c r="R30" s="112"/>
      <c r="S30" s="112"/>
      <c r="T30" s="112"/>
      <c r="U30" s="112"/>
      <c r="V30" s="112"/>
      <c r="W30" s="38"/>
    </row>
    <row r="31" spans="1:23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7"/>
      <c r="L31" s="28">
        <v>40</v>
      </c>
      <c r="M31" s="27">
        <f>J31/L31</f>
        <v>0</v>
      </c>
      <c r="N31" s="27">
        <f>M31*B31</f>
        <v>0</v>
      </c>
      <c r="O31" s="29"/>
      <c r="P31" s="112"/>
      <c r="Q31" s="112"/>
      <c r="R31" s="112"/>
      <c r="S31" s="112"/>
      <c r="T31" s="112"/>
      <c r="U31" s="112"/>
      <c r="V31" s="112"/>
      <c r="W31" s="38"/>
    </row>
    <row r="32" spans="1:23" ht="51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7"/>
      <c r="L32" s="28">
        <v>40</v>
      </c>
      <c r="M32" s="27">
        <f>J32/L32</f>
        <v>0</v>
      </c>
      <c r="N32" s="27">
        <f>M32*B32</f>
        <v>0</v>
      </c>
      <c r="O32" s="29"/>
      <c r="P32" s="112"/>
      <c r="Q32" s="112"/>
      <c r="R32" s="112"/>
      <c r="S32" s="112"/>
      <c r="T32" s="112"/>
      <c r="U32" s="112"/>
      <c r="V32" s="112"/>
      <c r="W32" s="38"/>
    </row>
    <row r="33" spans="1:23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7"/>
      <c r="L33" s="28">
        <v>40</v>
      </c>
      <c r="M33" s="27">
        <f t="shared" si="1"/>
        <v>0</v>
      </c>
      <c r="N33" s="27">
        <f t="shared" si="0"/>
        <v>0</v>
      </c>
      <c r="O33" s="29"/>
      <c r="P33" s="112"/>
      <c r="Q33" s="112"/>
      <c r="R33" s="112"/>
      <c r="S33" s="112"/>
      <c r="T33" s="112"/>
      <c r="U33" s="112"/>
      <c r="V33" s="112"/>
      <c r="W33" s="38"/>
    </row>
    <row r="34" spans="1:23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7"/>
      <c r="L34" s="28">
        <v>40</v>
      </c>
      <c r="M34" s="27">
        <f t="shared" si="1"/>
        <v>0</v>
      </c>
      <c r="N34" s="27">
        <f t="shared" si="0"/>
        <v>0</v>
      </c>
      <c r="O34" s="29"/>
      <c r="P34" s="112"/>
      <c r="Q34" s="112"/>
      <c r="R34" s="112"/>
      <c r="S34" s="112"/>
      <c r="T34" s="112"/>
      <c r="U34" s="112"/>
      <c r="V34" s="112"/>
      <c r="W34" s="38"/>
    </row>
    <row r="35" spans="1:23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7"/>
      <c r="L35" s="28">
        <v>40</v>
      </c>
      <c r="M35" s="27">
        <f>J35/L35</f>
        <v>0</v>
      </c>
      <c r="N35" s="27">
        <f>M35*B35</f>
        <v>0</v>
      </c>
      <c r="O35" s="29"/>
      <c r="P35" s="112"/>
      <c r="Q35" s="112"/>
      <c r="R35" s="112"/>
      <c r="S35" s="112"/>
      <c r="T35" s="112"/>
      <c r="U35" s="112"/>
      <c r="V35" s="112"/>
      <c r="W35" s="38"/>
    </row>
    <row r="36" spans="1:23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2"/>
      <c r="L36" s="43">
        <v>40</v>
      </c>
      <c r="M36" s="42">
        <f t="shared" si="1"/>
        <v>0</v>
      </c>
      <c r="N36" s="42">
        <f t="shared" si="0"/>
        <v>0</v>
      </c>
      <c r="O36" s="44"/>
      <c r="P36" s="113"/>
      <c r="Q36" s="113"/>
      <c r="R36" s="113"/>
      <c r="S36" s="113"/>
      <c r="T36" s="113"/>
      <c r="U36" s="113"/>
      <c r="V36" s="113"/>
      <c r="W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6"/>
  <sheetViews>
    <sheetView zoomScale="90" zoomScaleNormal="90" workbookViewId="0">
      <pane ySplit="1" topLeftCell="A35" activePane="bottomLeft" state="frozen"/>
      <selection activeCell="C31" sqref="C31"/>
      <selection pane="bottomLeft" activeCell="E44" sqref="E44"/>
    </sheetView>
  </sheetViews>
  <sheetFormatPr defaultRowHeight="15" x14ac:dyDescent="0.25"/>
  <cols>
    <col min="1" max="1" width="17.7109375" style="54" customWidth="1"/>
    <col min="2" max="2" width="8.5703125" style="6" bestFit="1" customWidth="1"/>
    <col min="3" max="3" width="8" style="6" bestFit="1" customWidth="1"/>
    <col min="4" max="4" width="16.42578125" style="6" customWidth="1"/>
    <col min="5" max="5" width="16.5703125" style="6" customWidth="1"/>
    <col min="6" max="6" width="9.85546875" style="6" bestFit="1" customWidth="1"/>
    <col min="7" max="7" width="7.85546875" style="6" customWidth="1"/>
    <col min="8" max="8" width="55.140625" style="6" customWidth="1"/>
    <col min="9" max="9" width="14.140625" style="123" customWidth="1"/>
    <col min="10" max="10" width="11.85546875" style="7" customWidth="1"/>
    <col min="11" max="11" width="11.85546875" style="8" customWidth="1"/>
    <col min="12" max="12" width="11.140625" style="7" customWidth="1"/>
    <col min="13" max="13" width="15.5703125" style="7" customWidth="1"/>
    <col min="14" max="14" width="21.7109375" customWidth="1"/>
    <col min="15" max="15" width="9.7109375" customWidth="1"/>
    <col min="16" max="16" width="7.7109375" bestFit="1" customWidth="1"/>
    <col min="17" max="17" width="16.42578125" customWidth="1"/>
    <col min="18" max="18" width="36.42578125" bestFit="1" customWidth="1"/>
    <col min="19" max="19" width="10.5703125" customWidth="1"/>
    <col min="20" max="20" width="9" customWidth="1"/>
    <col min="21" max="21" width="57.5703125" customWidth="1"/>
    <col min="22" max="22" width="38" style="7" bestFit="1" customWidth="1"/>
  </cols>
  <sheetData>
    <row r="1" spans="1:22" ht="39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90" t="s">
        <v>7</v>
      </c>
      <c r="I1" s="95" t="s">
        <v>8</v>
      </c>
      <c r="J1" s="31" t="s">
        <v>9</v>
      </c>
      <c r="K1" s="33" t="s">
        <v>267</v>
      </c>
      <c r="L1" s="32" t="s">
        <v>11</v>
      </c>
      <c r="M1" s="32" t="s">
        <v>12</v>
      </c>
      <c r="N1" s="34" t="s">
        <v>268</v>
      </c>
      <c r="O1" s="34" t="s">
        <v>1</v>
      </c>
      <c r="P1" s="34" t="s">
        <v>2</v>
      </c>
      <c r="Q1" s="34" t="s">
        <v>3</v>
      </c>
      <c r="R1" s="34" t="s">
        <v>269</v>
      </c>
      <c r="S1" s="35" t="s">
        <v>5</v>
      </c>
      <c r="T1" s="34" t="s">
        <v>6</v>
      </c>
      <c r="U1" s="34" t="s">
        <v>270</v>
      </c>
      <c r="V1" s="36" t="s">
        <v>13</v>
      </c>
    </row>
    <row r="2" spans="1:22" ht="76.5" x14ac:dyDescent="0.25">
      <c r="A2" s="49" t="s">
        <v>14</v>
      </c>
      <c r="B2" s="26">
        <v>40</v>
      </c>
      <c r="C2" s="56">
        <v>411010</v>
      </c>
      <c r="D2" s="24" t="s">
        <v>15</v>
      </c>
      <c r="E2" s="24"/>
      <c r="F2" s="24" t="s">
        <v>16</v>
      </c>
      <c r="G2" s="24" t="s">
        <v>17</v>
      </c>
      <c r="H2" s="96" t="s">
        <v>18</v>
      </c>
      <c r="I2" s="117">
        <v>2721.4733710595206</v>
      </c>
      <c r="J2" s="37"/>
      <c r="K2" s="28">
        <v>40</v>
      </c>
      <c r="L2" s="27">
        <f t="shared" ref="L2:L8" si="0">J2/K2</f>
        <v>0</v>
      </c>
      <c r="M2" s="27">
        <f t="shared" ref="M2:M8" si="1">L2*B2</f>
        <v>0</v>
      </c>
      <c r="N2" s="29"/>
      <c r="O2" s="29"/>
      <c r="P2" s="29"/>
      <c r="Q2" s="29"/>
      <c r="R2" s="29"/>
      <c r="S2" s="29"/>
      <c r="T2" s="29"/>
      <c r="U2" s="29"/>
      <c r="V2" s="38"/>
    </row>
    <row r="3" spans="1:22" ht="76.5" x14ac:dyDescent="0.25">
      <c r="A3" s="50" t="s">
        <v>19</v>
      </c>
      <c r="B3" s="1">
        <v>40</v>
      </c>
      <c r="C3" s="59">
        <v>411010</v>
      </c>
      <c r="D3" s="2" t="s">
        <v>15</v>
      </c>
      <c r="E3" s="2"/>
      <c r="F3" s="2" t="s">
        <v>20</v>
      </c>
      <c r="G3" s="2" t="s">
        <v>21</v>
      </c>
      <c r="H3" s="97" t="s">
        <v>22</v>
      </c>
      <c r="I3" s="118">
        <v>3525.8529983600006</v>
      </c>
      <c r="J3" s="37"/>
      <c r="K3" s="28">
        <v>40</v>
      </c>
      <c r="L3" s="30">
        <f t="shared" si="0"/>
        <v>0</v>
      </c>
      <c r="M3" s="27">
        <f t="shared" si="1"/>
        <v>0</v>
      </c>
      <c r="N3" s="29"/>
      <c r="O3" s="29"/>
      <c r="P3" s="29"/>
      <c r="Q3" s="29"/>
      <c r="R3" s="29"/>
      <c r="S3" s="29"/>
      <c r="T3" s="29"/>
      <c r="U3" s="29"/>
      <c r="V3" s="38"/>
    </row>
    <row r="4" spans="1:22" ht="89.25" x14ac:dyDescent="0.25">
      <c r="A4" s="51" t="s">
        <v>23</v>
      </c>
      <c r="B4" s="1">
        <v>40</v>
      </c>
      <c r="C4" s="59">
        <v>252305</v>
      </c>
      <c r="D4" s="2" t="s">
        <v>15</v>
      </c>
      <c r="E4" s="2"/>
      <c r="F4" s="2" t="s">
        <v>16</v>
      </c>
      <c r="G4" s="2" t="s">
        <v>17</v>
      </c>
      <c r="H4" s="97" t="s">
        <v>24</v>
      </c>
      <c r="I4" s="118">
        <v>4768.06052287488</v>
      </c>
      <c r="J4" s="37"/>
      <c r="K4" s="28">
        <v>40</v>
      </c>
      <c r="L4" s="27">
        <f t="shared" si="0"/>
        <v>0</v>
      </c>
      <c r="M4" s="27">
        <f t="shared" si="1"/>
        <v>0</v>
      </c>
      <c r="N4" s="29"/>
      <c r="O4" s="29"/>
      <c r="P4" s="29"/>
      <c r="Q4" s="29"/>
      <c r="R4" s="29"/>
      <c r="S4" s="29"/>
      <c r="T4" s="29"/>
      <c r="U4" s="29"/>
      <c r="V4" s="38"/>
    </row>
    <row r="5" spans="1:22" ht="114.75" x14ac:dyDescent="0.25">
      <c r="A5" s="50" t="s">
        <v>25</v>
      </c>
      <c r="B5" s="1">
        <v>40</v>
      </c>
      <c r="C5" s="59">
        <v>252105</v>
      </c>
      <c r="D5" s="2" t="s">
        <v>26</v>
      </c>
      <c r="E5" s="2"/>
      <c r="F5" s="2" t="s">
        <v>27</v>
      </c>
      <c r="G5" s="2" t="s">
        <v>28</v>
      </c>
      <c r="H5" s="98" t="s">
        <v>29</v>
      </c>
      <c r="I5" s="121">
        <v>3525.86</v>
      </c>
      <c r="J5" s="37"/>
      <c r="K5" s="28">
        <v>40</v>
      </c>
      <c r="L5" s="27">
        <f t="shared" si="0"/>
        <v>0</v>
      </c>
      <c r="M5" s="27">
        <f t="shared" si="1"/>
        <v>0</v>
      </c>
      <c r="N5" s="29"/>
      <c r="O5" s="29"/>
      <c r="P5" s="29"/>
      <c r="Q5" s="29"/>
      <c r="R5" s="29"/>
      <c r="S5" s="29"/>
      <c r="T5" s="29"/>
      <c r="U5" s="29"/>
      <c r="V5" s="39"/>
    </row>
    <row r="6" spans="1:22" ht="114.75" x14ac:dyDescent="0.25">
      <c r="A6" s="50" t="s">
        <v>30</v>
      </c>
      <c r="B6" s="1">
        <v>40</v>
      </c>
      <c r="C6" s="59">
        <v>252105</v>
      </c>
      <c r="D6" s="2" t="s">
        <v>26</v>
      </c>
      <c r="E6" s="2"/>
      <c r="F6" s="2" t="s">
        <v>16</v>
      </c>
      <c r="G6" s="2" t="s">
        <v>17</v>
      </c>
      <c r="H6" s="98" t="s">
        <v>29</v>
      </c>
      <c r="I6" s="118">
        <v>4768.06052287488</v>
      </c>
      <c r="J6" s="37"/>
      <c r="K6" s="28">
        <v>40</v>
      </c>
      <c r="L6" s="27">
        <f t="shared" si="0"/>
        <v>0</v>
      </c>
      <c r="M6" s="27">
        <f t="shared" si="1"/>
        <v>0</v>
      </c>
      <c r="N6" s="29"/>
      <c r="O6" s="29"/>
      <c r="P6" s="29"/>
      <c r="Q6" s="29"/>
      <c r="R6" s="29"/>
      <c r="S6" s="29"/>
      <c r="T6" s="29"/>
      <c r="U6" s="29"/>
      <c r="V6" s="38"/>
    </row>
    <row r="7" spans="1:22" ht="153" x14ac:dyDescent="0.25">
      <c r="A7" s="52" t="s">
        <v>31</v>
      </c>
      <c r="B7" s="1">
        <v>40</v>
      </c>
      <c r="C7" s="59">
        <v>252105</v>
      </c>
      <c r="D7" s="2" t="s">
        <v>26</v>
      </c>
      <c r="E7" s="2" t="s">
        <v>32</v>
      </c>
      <c r="F7" s="2" t="s">
        <v>33</v>
      </c>
      <c r="G7" s="2" t="s">
        <v>21</v>
      </c>
      <c r="H7" s="98" t="s">
        <v>34</v>
      </c>
      <c r="I7" s="118">
        <v>5559.5559680000006</v>
      </c>
      <c r="J7" s="37"/>
      <c r="K7" s="28">
        <v>40</v>
      </c>
      <c r="L7" s="27">
        <f t="shared" si="0"/>
        <v>0</v>
      </c>
      <c r="M7" s="27">
        <f t="shared" si="1"/>
        <v>0</v>
      </c>
      <c r="N7" s="29"/>
      <c r="O7" s="29"/>
      <c r="P7" s="29"/>
      <c r="Q7" s="29"/>
      <c r="R7" s="29"/>
      <c r="S7" s="29"/>
      <c r="T7" s="29"/>
      <c r="U7" s="29"/>
      <c r="V7" s="38"/>
    </row>
    <row r="8" spans="1:22" ht="153" x14ac:dyDescent="0.25">
      <c r="A8" s="52" t="s">
        <v>35</v>
      </c>
      <c r="B8" s="1">
        <v>40</v>
      </c>
      <c r="C8" s="59">
        <v>252105</v>
      </c>
      <c r="D8" s="2" t="s">
        <v>26</v>
      </c>
      <c r="E8" s="2" t="s">
        <v>32</v>
      </c>
      <c r="F8" s="2" t="s">
        <v>36</v>
      </c>
      <c r="G8" s="2" t="s">
        <v>37</v>
      </c>
      <c r="H8" s="98" t="s">
        <v>34</v>
      </c>
      <c r="I8" s="119">
        <v>5837.4998235769608</v>
      </c>
      <c r="J8" s="37"/>
      <c r="K8" s="28">
        <v>40</v>
      </c>
      <c r="L8" s="27">
        <f t="shared" si="0"/>
        <v>0</v>
      </c>
      <c r="M8" s="27">
        <f t="shared" si="1"/>
        <v>0</v>
      </c>
      <c r="N8" s="112"/>
      <c r="O8" s="29"/>
      <c r="P8" s="29"/>
      <c r="Q8" s="29"/>
      <c r="R8" s="29"/>
      <c r="S8" s="29"/>
      <c r="T8" s="29"/>
      <c r="U8" s="112"/>
      <c r="V8" s="38"/>
    </row>
    <row r="9" spans="1:22" ht="89.25" x14ac:dyDescent="0.25">
      <c r="A9" s="52" t="s">
        <v>38</v>
      </c>
      <c r="B9" s="1">
        <v>40</v>
      </c>
      <c r="C9" s="59">
        <v>374405</v>
      </c>
      <c r="D9" s="2" t="s">
        <v>15</v>
      </c>
      <c r="E9" s="2" t="s">
        <v>39</v>
      </c>
      <c r="F9" s="2" t="s">
        <v>16</v>
      </c>
      <c r="G9" s="2" t="s">
        <v>17</v>
      </c>
      <c r="H9" s="97" t="s">
        <v>40</v>
      </c>
      <c r="I9" s="119">
        <v>3525.8529983600006</v>
      </c>
      <c r="J9" s="37"/>
      <c r="K9" s="159"/>
      <c r="L9" s="27"/>
      <c r="M9" s="27"/>
      <c r="N9" s="112"/>
      <c r="O9" s="29"/>
      <c r="P9" s="29"/>
      <c r="Q9" s="29"/>
      <c r="R9" s="29"/>
      <c r="S9" s="29"/>
      <c r="T9" s="29"/>
      <c r="U9" s="112"/>
      <c r="V9" s="112"/>
    </row>
    <row r="10" spans="1:22" ht="89.25" x14ac:dyDescent="0.25">
      <c r="A10" s="52" t="s">
        <v>41</v>
      </c>
      <c r="B10" s="1">
        <v>40</v>
      </c>
      <c r="C10" s="59">
        <v>373205</v>
      </c>
      <c r="D10" s="2" t="s">
        <v>15</v>
      </c>
      <c r="E10" s="2" t="s">
        <v>39</v>
      </c>
      <c r="F10" s="2" t="s">
        <v>16</v>
      </c>
      <c r="G10" s="2" t="s">
        <v>17</v>
      </c>
      <c r="H10" s="97" t="s">
        <v>42</v>
      </c>
      <c r="I10" s="119">
        <v>3525.8529983600006</v>
      </c>
      <c r="J10" s="37"/>
      <c r="K10" s="159"/>
      <c r="L10" s="27"/>
      <c r="M10" s="27"/>
      <c r="N10" s="112"/>
      <c r="O10" s="29"/>
      <c r="P10" s="29"/>
      <c r="Q10" s="29"/>
      <c r="R10" s="29"/>
      <c r="S10" s="29"/>
      <c r="T10" s="29"/>
      <c r="U10" s="112"/>
      <c r="V10" s="112"/>
    </row>
    <row r="11" spans="1:22" ht="114.75" x14ac:dyDescent="0.25">
      <c r="A11" s="52" t="s">
        <v>43</v>
      </c>
      <c r="B11" s="1">
        <v>40</v>
      </c>
      <c r="C11" s="59">
        <v>313215</v>
      </c>
      <c r="D11" s="2" t="s">
        <v>15</v>
      </c>
      <c r="E11" s="2" t="s">
        <v>44</v>
      </c>
      <c r="F11" s="2" t="s">
        <v>16</v>
      </c>
      <c r="G11" s="2" t="s">
        <v>17</v>
      </c>
      <c r="H11" s="97" t="s">
        <v>45</v>
      </c>
      <c r="I11" s="119">
        <v>3525.8529983600006</v>
      </c>
      <c r="J11" s="37"/>
      <c r="K11" s="28">
        <v>40</v>
      </c>
      <c r="L11" s="27">
        <f t="shared" ref="L11:L36" si="2">J11/K11</f>
        <v>0</v>
      </c>
      <c r="M11" s="27">
        <f t="shared" ref="M11:M36" si="3">L11*B11</f>
        <v>0</v>
      </c>
      <c r="N11" s="29"/>
      <c r="O11" s="29"/>
      <c r="P11" s="29"/>
      <c r="Q11" s="29"/>
      <c r="R11" s="29"/>
      <c r="S11" s="29"/>
      <c r="T11" s="29"/>
      <c r="U11" s="29"/>
      <c r="V11" s="38"/>
    </row>
    <row r="12" spans="1:22" ht="102" x14ac:dyDescent="0.25">
      <c r="A12" s="52" t="s">
        <v>47</v>
      </c>
      <c r="B12" s="1">
        <v>40</v>
      </c>
      <c r="C12" s="59">
        <v>351605</v>
      </c>
      <c r="D12" s="2" t="s">
        <v>15</v>
      </c>
      <c r="E12" s="2" t="s">
        <v>48</v>
      </c>
      <c r="F12" s="2" t="s">
        <v>16</v>
      </c>
      <c r="G12" s="2" t="s">
        <v>17</v>
      </c>
      <c r="H12" s="97" t="s">
        <v>49</v>
      </c>
      <c r="I12" s="119">
        <v>4278.2939400000005</v>
      </c>
      <c r="J12" s="37"/>
      <c r="K12" s="28">
        <v>40</v>
      </c>
      <c r="L12" s="27">
        <f t="shared" si="2"/>
        <v>0</v>
      </c>
      <c r="M12" s="27">
        <f t="shared" si="3"/>
        <v>0</v>
      </c>
      <c r="N12" s="29"/>
      <c r="O12" s="29"/>
      <c r="P12" s="29"/>
      <c r="Q12" s="29"/>
      <c r="R12" s="29"/>
      <c r="S12" s="29"/>
      <c r="T12" s="29"/>
      <c r="U12" s="29"/>
      <c r="V12" s="38"/>
    </row>
    <row r="13" spans="1:22" ht="102" x14ac:dyDescent="0.25">
      <c r="A13" s="52" t="s">
        <v>50</v>
      </c>
      <c r="B13" s="1">
        <v>40</v>
      </c>
      <c r="C13" s="59">
        <v>261205</v>
      </c>
      <c r="D13" s="2" t="s">
        <v>51</v>
      </c>
      <c r="E13" s="2" t="s">
        <v>52</v>
      </c>
      <c r="F13" s="2" t="s">
        <v>16</v>
      </c>
      <c r="G13" s="2" t="s">
        <v>17</v>
      </c>
      <c r="H13" s="97" t="s">
        <v>53</v>
      </c>
      <c r="I13" s="118">
        <v>4317.0823782979196</v>
      </c>
      <c r="J13" s="37"/>
      <c r="K13" s="28">
        <v>40</v>
      </c>
      <c r="L13" s="27">
        <f t="shared" si="2"/>
        <v>0</v>
      </c>
      <c r="M13" s="27">
        <f t="shared" si="3"/>
        <v>0</v>
      </c>
      <c r="N13" s="29"/>
      <c r="O13" s="29"/>
      <c r="P13" s="29"/>
      <c r="Q13" s="29"/>
      <c r="R13" s="29"/>
      <c r="S13" s="29"/>
      <c r="T13" s="29"/>
      <c r="U13" s="29"/>
      <c r="V13" s="38"/>
    </row>
    <row r="14" spans="1:22" ht="375" x14ac:dyDescent="0.25">
      <c r="A14" s="52" t="s">
        <v>54</v>
      </c>
      <c r="B14" s="1">
        <v>40</v>
      </c>
      <c r="C14" s="59">
        <v>261125</v>
      </c>
      <c r="D14" s="2" t="s">
        <v>51</v>
      </c>
      <c r="E14" s="2" t="s">
        <v>55</v>
      </c>
      <c r="F14" s="2" t="s">
        <v>20</v>
      </c>
      <c r="G14" s="2" t="s">
        <v>21</v>
      </c>
      <c r="H14" s="97" t="s">
        <v>56</v>
      </c>
      <c r="I14" s="118">
        <v>5450.1268685001596</v>
      </c>
      <c r="J14" s="37">
        <v>6633.9</v>
      </c>
      <c r="K14" s="28">
        <v>40</v>
      </c>
      <c r="L14" s="27">
        <f t="shared" si="2"/>
        <v>165.8475</v>
      </c>
      <c r="M14" s="27">
        <f t="shared" si="3"/>
        <v>6633.9</v>
      </c>
      <c r="N14" s="124" t="s">
        <v>276</v>
      </c>
      <c r="O14" s="161"/>
      <c r="P14" s="124"/>
      <c r="Q14" s="124" t="s">
        <v>277</v>
      </c>
      <c r="R14" s="124"/>
      <c r="S14" s="124"/>
      <c r="T14" s="124"/>
      <c r="U14" s="133" t="s">
        <v>278</v>
      </c>
      <c r="V14" s="134" t="s">
        <v>279</v>
      </c>
    </row>
    <row r="15" spans="1:22" ht="127.5" x14ac:dyDescent="0.25">
      <c r="A15" s="52" t="s">
        <v>57</v>
      </c>
      <c r="B15" s="1">
        <v>40</v>
      </c>
      <c r="C15" s="59">
        <v>239410</v>
      </c>
      <c r="D15" s="2" t="s">
        <v>51</v>
      </c>
      <c r="E15" s="2" t="s">
        <v>55</v>
      </c>
      <c r="F15" s="2" t="s">
        <v>20</v>
      </c>
      <c r="G15" s="2" t="s">
        <v>21</v>
      </c>
      <c r="H15" s="97" t="s">
        <v>58</v>
      </c>
      <c r="I15" s="118">
        <v>5450.13</v>
      </c>
      <c r="J15" s="37"/>
      <c r="K15" s="28">
        <v>40</v>
      </c>
      <c r="L15" s="27">
        <f t="shared" si="2"/>
        <v>0</v>
      </c>
      <c r="M15" s="27">
        <f t="shared" si="3"/>
        <v>0</v>
      </c>
      <c r="N15" s="29"/>
      <c r="O15" s="29"/>
      <c r="P15" s="29"/>
      <c r="Q15" s="29"/>
      <c r="R15" s="29"/>
      <c r="S15" s="29"/>
      <c r="T15" s="29"/>
      <c r="U15" s="29"/>
      <c r="V15" s="38"/>
    </row>
    <row r="16" spans="1:22" ht="210" x14ac:dyDescent="0.25">
      <c r="A16" s="52" t="s">
        <v>59</v>
      </c>
      <c r="B16" s="1">
        <v>40</v>
      </c>
      <c r="C16" s="59">
        <v>261805</v>
      </c>
      <c r="D16" s="2" t="s">
        <v>60</v>
      </c>
      <c r="E16" s="2" t="s">
        <v>61</v>
      </c>
      <c r="F16" s="2" t="s">
        <v>20</v>
      </c>
      <c r="G16" s="2" t="s">
        <v>21</v>
      </c>
      <c r="H16" s="97" t="s">
        <v>62</v>
      </c>
      <c r="I16" s="119">
        <v>6207.1564731791996</v>
      </c>
      <c r="J16" s="37">
        <v>5699.63</v>
      </c>
      <c r="K16" s="28">
        <v>40</v>
      </c>
      <c r="L16" s="27">
        <f t="shared" si="2"/>
        <v>142.49074999999999</v>
      </c>
      <c r="M16" s="27">
        <f t="shared" si="3"/>
        <v>5699.6299999999992</v>
      </c>
      <c r="N16" s="112" t="s">
        <v>280</v>
      </c>
      <c r="O16" s="160"/>
      <c r="P16" s="112"/>
      <c r="Q16" s="112"/>
      <c r="R16" s="112"/>
      <c r="S16" s="112"/>
      <c r="T16" s="112"/>
      <c r="U16" s="112" t="s">
        <v>281</v>
      </c>
      <c r="V16" s="130" t="s">
        <v>282</v>
      </c>
    </row>
    <row r="17" spans="1:22" ht="51" x14ac:dyDescent="0.25">
      <c r="A17" s="52" t="s">
        <v>63</v>
      </c>
      <c r="B17" s="1">
        <v>40</v>
      </c>
      <c r="C17" s="59">
        <v>262410</v>
      </c>
      <c r="D17" s="2" t="s">
        <v>26</v>
      </c>
      <c r="E17" s="2"/>
      <c r="F17" s="2" t="s">
        <v>20</v>
      </c>
      <c r="G17" s="2" t="s">
        <v>21</v>
      </c>
      <c r="H17" s="97" t="s">
        <v>64</v>
      </c>
      <c r="I17" s="119">
        <v>7509.4989830291206</v>
      </c>
      <c r="J17" s="37"/>
      <c r="K17" s="28">
        <v>40</v>
      </c>
      <c r="L17" s="27">
        <f t="shared" si="2"/>
        <v>0</v>
      </c>
      <c r="M17" s="27">
        <f t="shared" si="3"/>
        <v>0</v>
      </c>
      <c r="N17" s="124"/>
      <c r="O17" s="124"/>
      <c r="P17" s="29"/>
      <c r="Q17" s="124"/>
      <c r="R17" s="124"/>
      <c r="S17" s="124"/>
      <c r="T17" s="124"/>
      <c r="U17" s="112"/>
      <c r="V17" s="38"/>
    </row>
    <row r="18" spans="1:22" ht="51" x14ac:dyDescent="0.25">
      <c r="A18" s="52" t="s">
        <v>65</v>
      </c>
      <c r="B18" s="1">
        <v>40</v>
      </c>
      <c r="C18" s="59">
        <v>262410</v>
      </c>
      <c r="D18" s="2" t="s">
        <v>26</v>
      </c>
      <c r="E18" s="2" t="s">
        <v>55</v>
      </c>
      <c r="F18" s="2" t="s">
        <v>36</v>
      </c>
      <c r="G18" s="2" t="s">
        <v>37</v>
      </c>
      <c r="H18" s="97" t="s">
        <v>64</v>
      </c>
      <c r="I18" s="119">
        <v>8208.7108768649596</v>
      </c>
      <c r="J18" s="37"/>
      <c r="K18" s="28">
        <v>40</v>
      </c>
      <c r="L18" s="27">
        <f t="shared" si="2"/>
        <v>0</v>
      </c>
      <c r="M18" s="27">
        <f t="shared" si="3"/>
        <v>0</v>
      </c>
      <c r="N18" s="29"/>
      <c r="O18" s="29"/>
      <c r="P18" s="29"/>
      <c r="Q18" s="29"/>
      <c r="R18" s="29"/>
      <c r="S18" s="29"/>
      <c r="T18" s="29"/>
      <c r="U18" s="29"/>
      <c r="V18" s="38"/>
    </row>
    <row r="19" spans="1:22" ht="114.75" x14ac:dyDescent="0.25">
      <c r="A19" s="52" t="s">
        <v>66</v>
      </c>
      <c r="B19" s="1">
        <v>40</v>
      </c>
      <c r="C19" s="59">
        <v>261120</v>
      </c>
      <c r="D19" s="2" t="s">
        <v>26</v>
      </c>
      <c r="E19" s="2" t="s">
        <v>55</v>
      </c>
      <c r="F19" s="2" t="s">
        <v>36</v>
      </c>
      <c r="G19" s="2" t="s">
        <v>37</v>
      </c>
      <c r="H19" s="97" t="s">
        <v>67</v>
      </c>
      <c r="I19" s="119">
        <v>10442.711883887359</v>
      </c>
      <c r="J19" s="37"/>
      <c r="K19" s="28">
        <v>40</v>
      </c>
      <c r="L19" s="27">
        <f t="shared" si="2"/>
        <v>0</v>
      </c>
      <c r="M19" s="27">
        <f t="shared" si="3"/>
        <v>0</v>
      </c>
      <c r="N19" s="29"/>
      <c r="O19" s="29"/>
      <c r="P19" s="29"/>
      <c r="Q19" s="29"/>
      <c r="R19" s="29"/>
      <c r="S19" s="29"/>
      <c r="T19" s="29"/>
      <c r="U19" s="29"/>
      <c r="V19" s="38"/>
    </row>
    <row r="20" spans="1:22" ht="114.75" x14ac:dyDescent="0.25">
      <c r="A20" s="52" t="s">
        <v>68</v>
      </c>
      <c r="B20" s="1">
        <v>40</v>
      </c>
      <c r="C20" s="59">
        <v>214915</v>
      </c>
      <c r="D20" s="2" t="s">
        <v>26</v>
      </c>
      <c r="E20" s="2" t="s">
        <v>69</v>
      </c>
      <c r="F20" s="2" t="s">
        <v>16</v>
      </c>
      <c r="G20" s="2" t="s">
        <v>17</v>
      </c>
      <c r="H20" s="97" t="s">
        <v>70</v>
      </c>
      <c r="I20" s="119">
        <v>10401.213333333333</v>
      </c>
      <c r="J20" s="37"/>
      <c r="K20" s="28">
        <v>40</v>
      </c>
      <c r="L20" s="27">
        <f t="shared" si="2"/>
        <v>0</v>
      </c>
      <c r="M20" s="27">
        <f t="shared" si="3"/>
        <v>0</v>
      </c>
      <c r="N20" s="29"/>
      <c r="O20" s="29"/>
      <c r="P20" s="29"/>
      <c r="Q20" s="29"/>
      <c r="R20" s="29"/>
      <c r="S20" s="29"/>
      <c r="T20" s="29"/>
      <c r="U20" s="29"/>
      <c r="V20" s="38"/>
    </row>
    <row r="21" spans="1:22" ht="140.25" x14ac:dyDescent="0.25">
      <c r="A21" s="52" t="s">
        <v>71</v>
      </c>
      <c r="B21" s="1">
        <v>40</v>
      </c>
      <c r="C21" s="59">
        <v>818110</v>
      </c>
      <c r="D21" s="2" t="s">
        <v>15</v>
      </c>
      <c r="E21" s="2" t="s">
        <v>72</v>
      </c>
      <c r="F21" s="2" t="s">
        <v>20</v>
      </c>
      <c r="G21" s="2" t="s">
        <v>21</v>
      </c>
      <c r="H21" s="97" t="s">
        <v>73</v>
      </c>
      <c r="I21" s="118">
        <v>2340.6941919999999</v>
      </c>
      <c r="J21" s="37"/>
      <c r="K21" s="28">
        <v>40</v>
      </c>
      <c r="L21" s="27">
        <f t="shared" si="2"/>
        <v>0</v>
      </c>
      <c r="M21" s="27">
        <f t="shared" si="3"/>
        <v>0</v>
      </c>
      <c r="N21" s="29"/>
      <c r="O21" s="29"/>
      <c r="P21" s="29"/>
      <c r="Q21" s="29"/>
      <c r="R21" s="29"/>
      <c r="S21" s="29"/>
      <c r="T21" s="29"/>
      <c r="U21" s="29"/>
      <c r="V21" s="40"/>
    </row>
    <row r="22" spans="1:22" ht="140.25" x14ac:dyDescent="0.25">
      <c r="A22" s="52" t="s">
        <v>74</v>
      </c>
      <c r="B22" s="1">
        <v>40</v>
      </c>
      <c r="C22" s="59">
        <v>311105</v>
      </c>
      <c r="D22" s="2" t="s">
        <v>15</v>
      </c>
      <c r="E22" s="2" t="s">
        <v>75</v>
      </c>
      <c r="F22" s="2" t="s">
        <v>20</v>
      </c>
      <c r="G22" s="2" t="s">
        <v>21</v>
      </c>
      <c r="H22" s="97" t="s">
        <v>76</v>
      </c>
      <c r="I22" s="118">
        <v>3604.8115582617602</v>
      </c>
      <c r="J22" s="37"/>
      <c r="K22" s="28">
        <v>40</v>
      </c>
      <c r="L22" s="27">
        <f t="shared" si="2"/>
        <v>0</v>
      </c>
      <c r="M22" s="27">
        <f t="shared" si="3"/>
        <v>0</v>
      </c>
      <c r="N22" s="29"/>
      <c r="O22" s="29"/>
      <c r="P22" s="29"/>
      <c r="Q22" s="29"/>
      <c r="R22" s="29"/>
      <c r="S22" s="29"/>
      <c r="T22" s="29"/>
      <c r="U22" s="29"/>
      <c r="V22" s="40"/>
    </row>
    <row r="23" spans="1:22" ht="114.75" x14ac:dyDescent="0.25">
      <c r="A23" s="52" t="s">
        <v>77</v>
      </c>
      <c r="B23" s="1">
        <v>20</v>
      </c>
      <c r="C23" s="59">
        <v>324130</v>
      </c>
      <c r="D23" s="2" t="s">
        <v>15</v>
      </c>
      <c r="E23" s="2" t="s">
        <v>78</v>
      </c>
      <c r="F23" s="2" t="s">
        <v>27</v>
      </c>
      <c r="G23" s="2" t="s">
        <v>28</v>
      </c>
      <c r="H23" s="97" t="s">
        <v>79</v>
      </c>
      <c r="I23" s="119">
        <v>1830.6685714285716</v>
      </c>
      <c r="J23" s="37"/>
      <c r="K23" s="28">
        <v>40</v>
      </c>
      <c r="L23" s="27">
        <f t="shared" si="2"/>
        <v>0</v>
      </c>
      <c r="M23" s="27">
        <f t="shared" si="3"/>
        <v>0</v>
      </c>
      <c r="N23" s="29"/>
      <c r="O23" s="29"/>
      <c r="P23" s="29"/>
      <c r="Q23" s="29"/>
      <c r="R23" s="29"/>
      <c r="S23" s="29"/>
      <c r="T23" s="29"/>
      <c r="U23" s="29"/>
      <c r="V23" s="38"/>
    </row>
    <row r="24" spans="1:22" ht="51" x14ac:dyDescent="0.25">
      <c r="A24" s="52" t="s">
        <v>81</v>
      </c>
      <c r="B24" s="1">
        <v>40</v>
      </c>
      <c r="C24" s="59">
        <v>322205</v>
      </c>
      <c r="D24" s="2" t="s">
        <v>82</v>
      </c>
      <c r="E24" s="2" t="s">
        <v>83</v>
      </c>
      <c r="F24" s="2" t="s">
        <v>27</v>
      </c>
      <c r="G24" s="2" t="s">
        <v>28</v>
      </c>
      <c r="H24" s="97" t="s">
        <v>84</v>
      </c>
      <c r="I24" s="118">
        <v>3604.8115582617602</v>
      </c>
      <c r="J24" s="37"/>
      <c r="K24" s="28">
        <v>40</v>
      </c>
      <c r="L24" s="27">
        <f t="shared" si="2"/>
        <v>0</v>
      </c>
      <c r="M24" s="27">
        <f t="shared" si="3"/>
        <v>0</v>
      </c>
      <c r="N24" s="29"/>
      <c r="O24" s="29"/>
      <c r="P24" s="29"/>
      <c r="Q24" s="29"/>
      <c r="R24" s="29"/>
      <c r="S24" s="29"/>
      <c r="T24" s="29"/>
      <c r="U24" s="29"/>
      <c r="V24" s="38"/>
    </row>
    <row r="25" spans="1:22" ht="51" x14ac:dyDescent="0.25">
      <c r="A25" s="52" t="s">
        <v>85</v>
      </c>
      <c r="B25" s="1">
        <v>40</v>
      </c>
      <c r="C25" s="59">
        <v>322205</v>
      </c>
      <c r="D25" s="2" t="s">
        <v>86</v>
      </c>
      <c r="E25" s="2" t="s">
        <v>83</v>
      </c>
      <c r="F25" s="2" t="s">
        <v>20</v>
      </c>
      <c r="G25" s="2" t="s">
        <v>21</v>
      </c>
      <c r="H25" s="97" t="s">
        <v>84</v>
      </c>
      <c r="I25" s="118">
        <v>3604.8115582617602</v>
      </c>
      <c r="J25" s="37"/>
      <c r="K25" s="28">
        <v>40</v>
      </c>
      <c r="L25" s="27">
        <f t="shared" si="2"/>
        <v>0</v>
      </c>
      <c r="M25" s="27">
        <f t="shared" si="3"/>
        <v>0</v>
      </c>
      <c r="N25" s="29"/>
      <c r="O25" s="29"/>
      <c r="P25" s="29"/>
      <c r="Q25" s="29"/>
      <c r="R25" s="29"/>
      <c r="S25" s="29"/>
      <c r="T25" s="29"/>
      <c r="U25" s="29"/>
      <c r="V25" s="40"/>
    </row>
    <row r="26" spans="1:22" ht="102" x14ac:dyDescent="0.25">
      <c r="A26" s="52" t="s">
        <v>88</v>
      </c>
      <c r="B26" s="1">
        <v>40</v>
      </c>
      <c r="C26" s="59">
        <v>325115</v>
      </c>
      <c r="D26" s="2" t="s">
        <v>86</v>
      </c>
      <c r="E26" s="2"/>
      <c r="F26" s="2" t="s">
        <v>20</v>
      </c>
      <c r="G26" s="2" t="s">
        <v>21</v>
      </c>
      <c r="H26" s="97" t="s">
        <v>89</v>
      </c>
      <c r="I26" s="118">
        <v>3604.8115582617602</v>
      </c>
      <c r="J26" s="37"/>
      <c r="K26" s="28">
        <v>40</v>
      </c>
      <c r="L26" s="27">
        <f t="shared" si="2"/>
        <v>0</v>
      </c>
      <c r="M26" s="27">
        <f t="shared" si="3"/>
        <v>0</v>
      </c>
      <c r="N26" s="29"/>
      <c r="O26" s="29"/>
      <c r="P26" s="29"/>
      <c r="Q26" s="29"/>
      <c r="R26" s="29"/>
      <c r="S26" s="29"/>
      <c r="T26" s="29"/>
      <c r="U26" s="29"/>
      <c r="V26" s="38"/>
    </row>
    <row r="27" spans="1:22" ht="153" x14ac:dyDescent="0.25">
      <c r="A27" s="52" t="s">
        <v>90</v>
      </c>
      <c r="B27" s="1">
        <v>30</v>
      </c>
      <c r="C27" s="59">
        <v>223605</v>
      </c>
      <c r="D27" s="2" t="s">
        <v>51</v>
      </c>
      <c r="E27" s="2" t="s">
        <v>91</v>
      </c>
      <c r="F27" s="2" t="s">
        <v>20</v>
      </c>
      <c r="G27" s="2" t="s">
        <v>21</v>
      </c>
      <c r="H27" s="97" t="s">
        <v>92</v>
      </c>
      <c r="I27" s="118">
        <v>4317.0823782979196</v>
      </c>
      <c r="J27" s="37"/>
      <c r="K27" s="28">
        <v>40</v>
      </c>
      <c r="L27" s="27">
        <f t="shared" si="2"/>
        <v>0</v>
      </c>
      <c r="M27" s="27">
        <f t="shared" si="3"/>
        <v>0</v>
      </c>
      <c r="N27" s="29"/>
      <c r="O27" s="29"/>
      <c r="P27" s="29"/>
      <c r="Q27" s="29"/>
      <c r="R27" s="29"/>
      <c r="S27" s="29"/>
      <c r="T27" s="29"/>
      <c r="U27" s="29"/>
      <c r="V27" s="38"/>
    </row>
    <row r="28" spans="1:22" ht="127.5" x14ac:dyDescent="0.25">
      <c r="A28" s="52" t="s">
        <v>93</v>
      </c>
      <c r="B28" s="1">
        <v>40</v>
      </c>
      <c r="C28" s="59">
        <v>223710</v>
      </c>
      <c r="D28" s="2" t="s">
        <v>51</v>
      </c>
      <c r="E28" s="2" t="s">
        <v>94</v>
      </c>
      <c r="F28" s="60" t="s">
        <v>20</v>
      </c>
      <c r="G28" s="60" t="s">
        <v>21</v>
      </c>
      <c r="H28" s="97" t="s">
        <v>95</v>
      </c>
      <c r="I28" s="118">
        <v>4317.0823782979196</v>
      </c>
      <c r="J28" s="37"/>
      <c r="K28" s="28">
        <v>40</v>
      </c>
      <c r="L28" s="27">
        <f t="shared" si="2"/>
        <v>0</v>
      </c>
      <c r="M28" s="27">
        <f t="shared" si="3"/>
        <v>0</v>
      </c>
      <c r="N28" s="29"/>
      <c r="O28" s="29"/>
      <c r="P28" s="29"/>
      <c r="Q28" s="29"/>
      <c r="R28" s="29"/>
      <c r="S28" s="29"/>
      <c r="T28" s="29"/>
      <c r="U28" s="29"/>
      <c r="V28" s="38"/>
    </row>
    <row r="29" spans="1:22" ht="102" x14ac:dyDescent="0.25">
      <c r="A29" s="52" t="s">
        <v>96</v>
      </c>
      <c r="B29" s="1">
        <v>40</v>
      </c>
      <c r="C29" s="59">
        <v>223405</v>
      </c>
      <c r="D29" s="2" t="s">
        <v>51</v>
      </c>
      <c r="E29" s="2" t="s">
        <v>97</v>
      </c>
      <c r="F29" s="2" t="s">
        <v>20</v>
      </c>
      <c r="G29" s="2" t="s">
        <v>21</v>
      </c>
      <c r="H29" s="97" t="s">
        <v>98</v>
      </c>
      <c r="I29" s="118">
        <v>5450.1303359999993</v>
      </c>
      <c r="J29" s="37"/>
      <c r="K29" s="28">
        <v>40</v>
      </c>
      <c r="L29" s="27">
        <f t="shared" si="2"/>
        <v>0</v>
      </c>
      <c r="M29" s="27">
        <f t="shared" si="3"/>
        <v>0</v>
      </c>
      <c r="N29" s="29"/>
      <c r="O29" s="29"/>
      <c r="P29" s="29"/>
      <c r="Q29" s="29"/>
      <c r="R29" s="29"/>
      <c r="S29" s="29"/>
      <c r="T29" s="29"/>
      <c r="U29" s="29"/>
      <c r="V29" s="38"/>
    </row>
    <row r="30" spans="1:22" ht="102" x14ac:dyDescent="0.25">
      <c r="A30" s="52" t="s">
        <v>99</v>
      </c>
      <c r="B30" s="1">
        <v>40</v>
      </c>
      <c r="C30" s="59">
        <v>223405</v>
      </c>
      <c r="D30" s="2" t="s">
        <v>51</v>
      </c>
      <c r="E30" s="2" t="s">
        <v>100</v>
      </c>
      <c r="F30" s="2" t="s">
        <v>36</v>
      </c>
      <c r="G30" s="2" t="s">
        <v>37</v>
      </c>
      <c r="H30" s="97" t="s">
        <v>101</v>
      </c>
      <c r="I30" s="119">
        <v>6022.82</v>
      </c>
      <c r="J30" s="37"/>
      <c r="K30" s="28">
        <v>40</v>
      </c>
      <c r="L30" s="27">
        <f t="shared" si="2"/>
        <v>0</v>
      </c>
      <c r="M30" s="27">
        <f t="shared" si="3"/>
        <v>0</v>
      </c>
      <c r="N30" s="29"/>
      <c r="O30" s="29"/>
      <c r="P30" s="29"/>
      <c r="Q30" s="29"/>
      <c r="R30" s="29"/>
      <c r="S30" s="29"/>
      <c r="T30" s="29"/>
      <c r="U30" s="29"/>
      <c r="V30" s="38"/>
    </row>
    <row r="31" spans="1:22" ht="51" x14ac:dyDescent="0.25">
      <c r="A31" s="52" t="s">
        <v>103</v>
      </c>
      <c r="B31" s="1">
        <v>40</v>
      </c>
      <c r="C31" s="59">
        <v>221105</v>
      </c>
      <c r="D31" s="2" t="s">
        <v>51</v>
      </c>
      <c r="E31" s="2" t="s">
        <v>104</v>
      </c>
      <c r="F31" s="2" t="s">
        <v>20</v>
      </c>
      <c r="G31" s="2" t="s">
        <v>21</v>
      </c>
      <c r="H31" s="97" t="s">
        <v>105</v>
      </c>
      <c r="I31" s="119">
        <v>5450.1303359999993</v>
      </c>
      <c r="J31" s="37"/>
      <c r="K31" s="28">
        <v>40</v>
      </c>
      <c r="L31" s="27">
        <f t="shared" si="2"/>
        <v>0</v>
      </c>
      <c r="M31" s="27">
        <f t="shared" si="3"/>
        <v>0</v>
      </c>
      <c r="N31" s="29"/>
      <c r="O31" s="29"/>
      <c r="P31" s="29"/>
      <c r="Q31" s="29"/>
      <c r="R31" s="29"/>
      <c r="S31" s="29"/>
      <c r="T31" s="29"/>
      <c r="U31" s="29"/>
      <c r="V31" s="38"/>
    </row>
    <row r="32" spans="1:22" ht="63.75" x14ac:dyDescent="0.25">
      <c r="A32" s="52" t="s">
        <v>106</v>
      </c>
      <c r="B32" s="1">
        <v>40</v>
      </c>
      <c r="C32" s="59">
        <v>223810</v>
      </c>
      <c r="D32" s="2" t="s">
        <v>51</v>
      </c>
      <c r="E32" s="2" t="s">
        <v>104</v>
      </c>
      <c r="F32" s="2" t="s">
        <v>20</v>
      </c>
      <c r="G32" s="2" t="s">
        <v>21</v>
      </c>
      <c r="H32" s="97" t="s">
        <v>107</v>
      </c>
      <c r="I32" s="119">
        <v>5450.1268685001596</v>
      </c>
      <c r="J32" s="37"/>
      <c r="K32" s="28">
        <v>40</v>
      </c>
      <c r="L32" s="27">
        <f t="shared" si="2"/>
        <v>0</v>
      </c>
      <c r="M32" s="27">
        <f t="shared" si="3"/>
        <v>0</v>
      </c>
      <c r="N32" s="29"/>
      <c r="O32" s="29"/>
      <c r="P32" s="29"/>
      <c r="Q32" s="29"/>
      <c r="R32" s="29"/>
      <c r="S32" s="29"/>
      <c r="T32" s="29"/>
      <c r="U32" s="29"/>
      <c r="V32" s="38"/>
    </row>
    <row r="33" spans="1:22" ht="72" customHeight="1" x14ac:dyDescent="0.25">
      <c r="A33" s="52" t="s">
        <v>108</v>
      </c>
      <c r="B33" s="1">
        <v>40</v>
      </c>
      <c r="C33" s="59">
        <v>213205</v>
      </c>
      <c r="D33" s="2" t="s">
        <v>51</v>
      </c>
      <c r="E33" s="2" t="s">
        <v>104</v>
      </c>
      <c r="F33" s="2" t="s">
        <v>20</v>
      </c>
      <c r="G33" s="2" t="s">
        <v>21</v>
      </c>
      <c r="H33" s="97" t="s">
        <v>109</v>
      </c>
      <c r="I33" s="119">
        <v>5450.1268685001596</v>
      </c>
      <c r="J33" s="37"/>
      <c r="K33" s="28">
        <v>40</v>
      </c>
      <c r="L33" s="27">
        <f t="shared" si="2"/>
        <v>0</v>
      </c>
      <c r="M33" s="27">
        <f t="shared" si="3"/>
        <v>0</v>
      </c>
      <c r="N33" s="29"/>
      <c r="O33" s="29"/>
      <c r="P33" s="29"/>
      <c r="Q33" s="29"/>
      <c r="R33" s="29"/>
      <c r="S33" s="29"/>
      <c r="T33" s="29"/>
      <c r="U33" s="29"/>
      <c r="V33" s="38"/>
    </row>
    <row r="34" spans="1:22" ht="63.75" x14ac:dyDescent="0.25">
      <c r="A34" s="52" t="s">
        <v>110</v>
      </c>
      <c r="B34" s="1">
        <v>40</v>
      </c>
      <c r="C34" s="59">
        <v>223505</v>
      </c>
      <c r="D34" s="2" t="s">
        <v>51</v>
      </c>
      <c r="E34" s="2" t="s">
        <v>111</v>
      </c>
      <c r="F34" s="2" t="s">
        <v>16</v>
      </c>
      <c r="G34" s="2" t="s">
        <v>17</v>
      </c>
      <c r="H34" s="97" t="s">
        <v>112</v>
      </c>
      <c r="I34" s="122">
        <v>6022.8171519999996</v>
      </c>
      <c r="J34" s="37"/>
      <c r="K34" s="28">
        <v>40</v>
      </c>
      <c r="L34" s="27">
        <f t="shared" si="2"/>
        <v>0</v>
      </c>
      <c r="M34" s="27">
        <f t="shared" si="3"/>
        <v>0</v>
      </c>
      <c r="N34" s="29"/>
      <c r="O34" s="29"/>
      <c r="P34" s="29"/>
      <c r="Q34" s="29"/>
      <c r="R34" s="29"/>
      <c r="S34" s="29"/>
      <c r="T34" s="29"/>
      <c r="U34" s="29"/>
      <c r="V34" s="38"/>
    </row>
    <row r="35" spans="1:22" ht="63.75" x14ac:dyDescent="0.25">
      <c r="A35" s="52" t="s">
        <v>113</v>
      </c>
      <c r="B35" s="1">
        <v>40</v>
      </c>
      <c r="C35" s="59">
        <v>223505</v>
      </c>
      <c r="D35" s="2" t="s">
        <v>51</v>
      </c>
      <c r="E35" s="2" t="s">
        <v>114</v>
      </c>
      <c r="F35" s="2" t="s">
        <v>36</v>
      </c>
      <c r="G35" s="2" t="s">
        <v>37</v>
      </c>
      <c r="H35" s="97" t="s">
        <v>112</v>
      </c>
      <c r="I35" s="119">
        <v>6022.8171519999996</v>
      </c>
      <c r="J35" s="37"/>
      <c r="K35" s="28">
        <v>40</v>
      </c>
      <c r="L35" s="27">
        <f t="shared" si="2"/>
        <v>0</v>
      </c>
      <c r="M35" s="27">
        <f t="shared" si="3"/>
        <v>0</v>
      </c>
      <c r="N35" s="29"/>
      <c r="O35" s="29"/>
      <c r="P35" s="29"/>
      <c r="Q35" s="29"/>
      <c r="R35" s="29"/>
      <c r="S35" s="29"/>
      <c r="T35" s="29"/>
      <c r="U35" s="29"/>
      <c r="V35" s="38"/>
    </row>
    <row r="36" spans="1:22" ht="77.25" thickBot="1" x14ac:dyDescent="0.3">
      <c r="A36" s="53" t="s">
        <v>115</v>
      </c>
      <c r="B36" s="3">
        <v>20</v>
      </c>
      <c r="C36" s="62">
        <v>225125</v>
      </c>
      <c r="D36" s="4" t="s">
        <v>51</v>
      </c>
      <c r="E36" s="4" t="s">
        <v>116</v>
      </c>
      <c r="F36" s="4" t="s">
        <v>36</v>
      </c>
      <c r="G36" s="4" t="s">
        <v>37</v>
      </c>
      <c r="H36" s="99" t="s">
        <v>107</v>
      </c>
      <c r="I36" s="120">
        <v>7509.5</v>
      </c>
      <c r="J36" s="41"/>
      <c r="K36" s="43">
        <v>40</v>
      </c>
      <c r="L36" s="42">
        <f t="shared" si="2"/>
        <v>0</v>
      </c>
      <c r="M36" s="42">
        <f t="shared" si="3"/>
        <v>0</v>
      </c>
      <c r="N36" s="44"/>
      <c r="O36" s="44"/>
      <c r="P36" s="44"/>
      <c r="Q36" s="44"/>
      <c r="R36" s="44"/>
      <c r="S36" s="44"/>
      <c r="T36" s="44"/>
      <c r="U36" s="44"/>
      <c r="V36" s="45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8D2F88A991B54F8EE9C459E599A964" ma:contentTypeVersion="8" ma:contentTypeDescription="Crie um novo documento." ma:contentTypeScope="" ma:versionID="744e8d5a29912b2743c25b44eee32f8f">
  <xsd:schema xmlns:xsd="http://www.w3.org/2001/XMLSchema" xmlns:xs="http://www.w3.org/2001/XMLSchema" xmlns:p="http://schemas.microsoft.com/office/2006/metadata/properties" xmlns:ns2="ac6d53e1-28dd-4949-96b5-50d9622f0401" xmlns:ns3="8f8b0223-080c-434f-af3b-b027ee525cf4" targetNamespace="http://schemas.microsoft.com/office/2006/metadata/properties" ma:root="true" ma:fieldsID="7ad54fa57a5df22527cf58afdeb84a45" ns2:_="" ns3:_="">
    <xsd:import namespace="ac6d53e1-28dd-4949-96b5-50d9622f0401"/>
    <xsd:import namespace="8f8b0223-080c-434f-af3b-b027ee525c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d53e1-28dd-4949-96b5-50d9622f0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3de60c-575b-4c62-9f62-591ff79d3e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b0223-080c-434f-af3b-b027ee525c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96882cf-3851-4034-9471-3b908881c602}" ma:internalName="TaxCatchAll" ma:showField="CatchAllData" ma:web="8f8b0223-080c-434f-af3b-b027ee525c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8b0223-080c-434f-af3b-b027ee525cf4" xsi:nil="true"/>
    <lcf76f155ced4ddcb4097134ff3c332f xmlns="ac6d53e1-28dd-4949-96b5-50d9622f04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9A6A76-8799-4319-B83D-2D4029A28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d53e1-28dd-4949-96b5-50d9622f0401"/>
    <ds:schemaRef ds:uri="8f8b0223-080c-434f-af3b-b027ee525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6957C-6E6D-41DB-B26E-FC5F604A1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5DB08-0198-46E9-86BA-5A26AC6021B3}">
  <ds:schemaRefs>
    <ds:schemaRef ds:uri="http://schemas.microsoft.com/office/2006/metadata/properties"/>
    <ds:schemaRef ds:uri="http://schemas.microsoft.com/office/infopath/2007/PartnerControls"/>
    <ds:schemaRef ds:uri="8f8b0223-080c-434f-af3b-b027ee525cf4"/>
    <ds:schemaRef ds:uri="ac6d53e1-28dd-4949-96b5-50d9622f04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RESUMO</vt:lpstr>
      <vt:lpstr>Salario.com</vt:lpstr>
      <vt:lpstr>Trabalha Brasil</vt:lpstr>
      <vt:lpstr>Cargos.com</vt:lpstr>
      <vt:lpstr>Glassdoor</vt:lpstr>
      <vt:lpstr>Leme</vt:lpstr>
      <vt:lpstr>Catho</vt:lpstr>
      <vt:lpstr>Aneel</vt:lpstr>
      <vt:lpstr>CJF</vt:lpstr>
      <vt:lpstr>FAR </vt:lpstr>
      <vt:lpstr>INI </vt:lpstr>
      <vt:lpstr>COGIC </vt:lpstr>
      <vt:lpstr>INCQS </vt:lpstr>
      <vt:lpstr>COC </vt:lpstr>
      <vt:lpstr>IFF </vt:lpstr>
      <vt:lpstr>BIO </vt:lpstr>
      <vt:lpstr>POLI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Sonali da Silva Mota</dc:creator>
  <cp:keywords/>
  <dc:description/>
  <cp:lastModifiedBy>Sonali da Silva Mota</cp:lastModifiedBy>
  <cp:revision/>
  <dcterms:created xsi:type="dcterms:W3CDTF">2021-12-05T23:25:12Z</dcterms:created>
  <dcterms:modified xsi:type="dcterms:W3CDTF">2023-06-10T21:55:34Z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0x010100868D2F88A991B54F8EE9C459E599A964</vt:lpwstr>
  </property>
  <property fmtid="{D5CDD505-2E9C-101B-9397-08002B2CF9AE}" pid="3" name="MediaServiceImageTags">
    <vt:lpwstr/>
  </property>
</Properties>
</file>